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ihayes/Desktop/"/>
    </mc:Choice>
  </mc:AlternateContent>
  <xr:revisionPtr revIDLastSave="0" documentId="8_{5C479D83-138C-4F4B-9D68-0719F58D7F20}" xr6:coauthVersionLast="47" xr6:coauthVersionMax="47" xr10:uidLastSave="{00000000-0000-0000-0000-000000000000}"/>
  <bookViews>
    <workbookView xWindow="0" yWindow="740" windowWidth="27500" windowHeight="15500" activeTab="1" xr2:uid="{794A42B4-EDC7-4E68-8B77-B4FAF87C6591}"/>
  </bookViews>
  <sheets>
    <sheet name="Round 1" sheetId="16" r:id="rId1"/>
    <sheet name="Round 2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5" l="1"/>
  <c r="C6" i="16"/>
  <c r="E6" i="16"/>
  <c r="G6" i="16"/>
  <c r="I6" i="16"/>
  <c r="C7" i="16"/>
  <c r="E7" i="16"/>
  <c r="G7" i="16"/>
  <c r="I7" i="16"/>
  <c r="C8" i="16"/>
  <c r="E8" i="16"/>
  <c r="G8" i="16"/>
  <c r="I8" i="16"/>
  <c r="C9" i="16"/>
  <c r="E9" i="16"/>
  <c r="G9" i="16"/>
  <c r="I9" i="16"/>
  <c r="C10" i="16"/>
  <c r="E10" i="16"/>
  <c r="G10" i="16"/>
  <c r="I10" i="16"/>
  <c r="K10" i="16"/>
  <c r="C11" i="16"/>
  <c r="D11" i="16" s="1"/>
  <c r="E11" i="16"/>
  <c r="G11" i="16"/>
  <c r="I11" i="16"/>
  <c r="C12" i="16"/>
  <c r="E12" i="16"/>
  <c r="G12" i="16"/>
  <c r="I12" i="16"/>
  <c r="C17" i="16"/>
  <c r="E17" i="16"/>
  <c r="G17" i="16"/>
  <c r="I17" i="16"/>
  <c r="C18" i="16"/>
  <c r="E18" i="16"/>
  <c r="G18" i="16"/>
  <c r="I18" i="16"/>
  <c r="K18" i="16"/>
  <c r="C19" i="16"/>
  <c r="E19" i="16"/>
  <c r="G19" i="16"/>
  <c r="I19" i="16"/>
  <c r="C20" i="16"/>
  <c r="E20" i="16"/>
  <c r="G20" i="16"/>
  <c r="I20" i="16"/>
  <c r="C21" i="16"/>
  <c r="E21" i="16"/>
  <c r="G21" i="16"/>
  <c r="I21" i="16"/>
  <c r="C22" i="16"/>
  <c r="E22" i="16"/>
  <c r="G22" i="16"/>
  <c r="I22" i="16"/>
  <c r="K22" i="16"/>
  <c r="C23" i="16"/>
  <c r="E23" i="16"/>
  <c r="G23" i="16"/>
  <c r="I23" i="16"/>
  <c r="C24" i="16"/>
  <c r="E24" i="16"/>
  <c r="G24" i="16"/>
  <c r="I24" i="16"/>
  <c r="J24" i="16" s="1"/>
  <c r="C25" i="16"/>
  <c r="E25" i="16"/>
  <c r="G25" i="16"/>
  <c r="I25" i="16"/>
  <c r="C30" i="16"/>
  <c r="E30" i="16"/>
  <c r="G30" i="16"/>
  <c r="I30" i="16"/>
  <c r="C31" i="16"/>
  <c r="E31" i="16"/>
  <c r="G31" i="16"/>
  <c r="I31" i="16"/>
  <c r="C32" i="16"/>
  <c r="E32" i="16"/>
  <c r="G32" i="16"/>
  <c r="I32" i="16"/>
  <c r="C33" i="16"/>
  <c r="E33" i="16"/>
  <c r="G33" i="16"/>
  <c r="I33" i="16"/>
  <c r="C34" i="16"/>
  <c r="E34" i="16"/>
  <c r="G34" i="16"/>
  <c r="I34" i="16"/>
  <c r="C35" i="16"/>
  <c r="E35" i="16"/>
  <c r="G35" i="16"/>
  <c r="I35" i="16"/>
  <c r="C36" i="16"/>
  <c r="E36" i="16"/>
  <c r="G36" i="16"/>
  <c r="H36" i="16" s="1"/>
  <c r="I36" i="16"/>
  <c r="K37" i="16"/>
  <c r="C42" i="16"/>
  <c r="E42" i="16"/>
  <c r="G42" i="16"/>
  <c r="I42" i="16"/>
  <c r="C43" i="16"/>
  <c r="E43" i="16"/>
  <c r="G43" i="16"/>
  <c r="I43" i="16"/>
  <c r="C44" i="16"/>
  <c r="E44" i="16"/>
  <c r="G44" i="16"/>
  <c r="I44" i="16"/>
  <c r="C45" i="16"/>
  <c r="E45" i="16"/>
  <c r="G45" i="16"/>
  <c r="I45" i="16"/>
  <c r="C46" i="16"/>
  <c r="E46" i="16"/>
  <c r="G46" i="16"/>
  <c r="I46" i="16"/>
  <c r="C47" i="16"/>
  <c r="E47" i="16"/>
  <c r="G47" i="16"/>
  <c r="I47" i="16"/>
  <c r="C49" i="16"/>
  <c r="E49" i="16"/>
  <c r="G49" i="16"/>
  <c r="I49" i="16"/>
  <c r="C50" i="16"/>
  <c r="E50" i="16"/>
  <c r="G50" i="16"/>
  <c r="I50" i="16"/>
  <c r="K50" i="16" s="1"/>
  <c r="C51" i="16"/>
  <c r="E51" i="16"/>
  <c r="G51" i="16"/>
  <c r="I51" i="16"/>
  <c r="C52" i="16"/>
  <c r="E52" i="16"/>
  <c r="G52" i="16"/>
  <c r="I52" i="16"/>
  <c r="C53" i="16"/>
  <c r="E53" i="16"/>
  <c r="G53" i="16"/>
  <c r="I53" i="16"/>
  <c r="C5" i="15"/>
  <c r="E5" i="15"/>
  <c r="G5" i="15"/>
  <c r="I5" i="15"/>
  <c r="C6" i="15"/>
  <c r="E6" i="15"/>
  <c r="G6" i="15"/>
  <c r="I6" i="15"/>
  <c r="C7" i="15"/>
  <c r="E7" i="15"/>
  <c r="G7" i="15"/>
  <c r="I7" i="15"/>
  <c r="C8" i="15"/>
  <c r="E8" i="15"/>
  <c r="G8" i="15"/>
  <c r="I8" i="15"/>
  <c r="C9" i="15"/>
  <c r="E9" i="15"/>
  <c r="G9" i="15"/>
  <c r="I9" i="15"/>
  <c r="C10" i="15"/>
  <c r="E10" i="15"/>
  <c r="G10" i="15"/>
  <c r="I10" i="15"/>
  <c r="C11" i="15"/>
  <c r="E11" i="15"/>
  <c r="F9" i="15" s="1"/>
  <c r="F11" i="15"/>
  <c r="G11" i="15"/>
  <c r="I11" i="15"/>
  <c r="C12" i="15"/>
  <c r="E12" i="15"/>
  <c r="G12" i="15"/>
  <c r="I12" i="15"/>
  <c r="C16" i="15"/>
  <c r="E16" i="15"/>
  <c r="G16" i="15"/>
  <c r="I16" i="15"/>
  <c r="C17" i="15"/>
  <c r="E17" i="15"/>
  <c r="G17" i="15"/>
  <c r="I17" i="15"/>
  <c r="C18" i="15"/>
  <c r="E18" i="15"/>
  <c r="G18" i="15"/>
  <c r="I18" i="15"/>
  <c r="C19" i="15"/>
  <c r="E19" i="15"/>
  <c r="G19" i="15"/>
  <c r="I19" i="15"/>
  <c r="C20" i="15"/>
  <c r="D20" i="15" s="1"/>
  <c r="E20" i="15"/>
  <c r="G20" i="15"/>
  <c r="I20" i="15"/>
  <c r="C21" i="15"/>
  <c r="E21" i="15"/>
  <c r="G21" i="15"/>
  <c r="I21" i="15"/>
  <c r="J21" i="15" s="1"/>
  <c r="C22" i="15"/>
  <c r="E22" i="15"/>
  <c r="G22" i="15"/>
  <c r="I22" i="15"/>
  <c r="C26" i="15"/>
  <c r="E26" i="15"/>
  <c r="G26" i="15"/>
  <c r="I26" i="15"/>
  <c r="C27" i="15"/>
  <c r="E27" i="15"/>
  <c r="K27" i="15" s="1"/>
  <c r="G27" i="15"/>
  <c r="I27" i="15"/>
  <c r="C28" i="15"/>
  <c r="E28" i="15"/>
  <c r="G28" i="15"/>
  <c r="I28" i="15"/>
  <c r="J28" i="15"/>
  <c r="C29" i="15"/>
  <c r="E29" i="15"/>
  <c r="G29" i="15"/>
  <c r="I29" i="15"/>
  <c r="C30" i="15"/>
  <c r="E30" i="15"/>
  <c r="G30" i="15"/>
  <c r="I30" i="15"/>
  <c r="C31" i="15"/>
  <c r="E31" i="15"/>
  <c r="G31" i="15"/>
  <c r="I31" i="15"/>
  <c r="C36" i="15"/>
  <c r="E36" i="15"/>
  <c r="G36" i="15"/>
  <c r="I36" i="15"/>
  <c r="C37" i="15"/>
  <c r="E37" i="15"/>
  <c r="G37" i="15"/>
  <c r="I37" i="15"/>
  <c r="C38" i="15"/>
  <c r="E38" i="15"/>
  <c r="G38" i="15"/>
  <c r="I38" i="15"/>
  <c r="C40" i="15"/>
  <c r="E40" i="15"/>
  <c r="I40" i="15"/>
  <c r="C41" i="15"/>
  <c r="E41" i="15"/>
  <c r="G41" i="15"/>
  <c r="I41" i="15"/>
  <c r="C42" i="15"/>
  <c r="E42" i="15"/>
  <c r="G42" i="15"/>
  <c r="I42" i="15"/>
  <c r="C43" i="15"/>
  <c r="E43" i="15"/>
  <c r="G43" i="15"/>
  <c r="I43" i="15"/>
  <c r="C44" i="15"/>
  <c r="E44" i="15"/>
  <c r="G44" i="15"/>
  <c r="I44" i="15"/>
  <c r="C45" i="15"/>
  <c r="E45" i="15"/>
  <c r="G45" i="15"/>
  <c r="I45" i="15"/>
  <c r="C50" i="15"/>
  <c r="E50" i="15"/>
  <c r="G50" i="15"/>
  <c r="I50" i="15"/>
  <c r="C51" i="15"/>
  <c r="E51" i="15"/>
  <c r="G51" i="15"/>
  <c r="I51" i="15"/>
  <c r="C52" i="15"/>
  <c r="E52" i="15"/>
  <c r="G52" i="15"/>
  <c r="I52" i="15"/>
  <c r="C53" i="15"/>
  <c r="E53" i="15"/>
  <c r="G53" i="15"/>
  <c r="I53" i="15"/>
  <c r="C54" i="15"/>
  <c r="E54" i="15"/>
  <c r="G54" i="15"/>
  <c r="I54" i="15"/>
  <c r="C57" i="15"/>
  <c r="E57" i="15"/>
  <c r="G57" i="15"/>
  <c r="I57" i="15"/>
  <c r="C58" i="15"/>
  <c r="E58" i="15"/>
  <c r="G58" i="15"/>
  <c r="H58" i="15" s="1"/>
  <c r="I58" i="15"/>
  <c r="C59" i="15"/>
  <c r="E59" i="15"/>
  <c r="G59" i="15"/>
  <c r="I59" i="15"/>
  <c r="C60" i="15"/>
  <c r="E60" i="15"/>
  <c r="G60" i="15"/>
  <c r="I60" i="15"/>
  <c r="C61" i="15"/>
  <c r="E61" i="15"/>
  <c r="G61" i="15"/>
  <c r="I61" i="15"/>
  <c r="J7" i="16" l="1"/>
  <c r="H51" i="16"/>
  <c r="K17" i="16"/>
  <c r="H9" i="16"/>
  <c r="H24" i="16"/>
  <c r="H12" i="15"/>
  <c r="K22" i="15"/>
  <c r="F51" i="15"/>
  <c r="K41" i="15"/>
  <c r="J43" i="15"/>
  <c r="K53" i="15"/>
  <c r="H22" i="15"/>
  <c r="H17" i="15"/>
  <c r="J5" i="15"/>
  <c r="F30" i="15"/>
  <c r="J31" i="15"/>
  <c r="K18" i="15"/>
  <c r="F12" i="15"/>
  <c r="H10" i="15"/>
  <c r="J44" i="15"/>
  <c r="D42" i="15"/>
  <c r="K40" i="15"/>
  <c r="K37" i="15"/>
  <c r="K8" i="15"/>
  <c r="F60" i="15"/>
  <c r="K52" i="15"/>
  <c r="H31" i="15"/>
  <c r="F26" i="15"/>
  <c r="D28" i="15"/>
  <c r="F19" i="15"/>
  <c r="H59" i="15"/>
  <c r="D29" i="15"/>
  <c r="F27" i="15"/>
  <c r="J16" i="15"/>
  <c r="D12" i="15"/>
  <c r="F40" i="15"/>
  <c r="J8" i="15"/>
  <c r="D53" i="15"/>
  <c r="K61" i="15"/>
  <c r="D58" i="15"/>
  <c r="F36" i="15"/>
  <c r="J29" i="15"/>
  <c r="J20" i="15"/>
  <c r="J17" i="15"/>
  <c r="K11" i="15"/>
  <c r="J7" i="15"/>
  <c r="F57" i="15"/>
  <c r="K57" i="15"/>
  <c r="H36" i="15"/>
  <c r="H29" i="15"/>
  <c r="F22" i="15"/>
  <c r="D16" i="15"/>
  <c r="J11" i="15"/>
  <c r="H7" i="15"/>
  <c r="H5" i="15"/>
  <c r="D59" i="15"/>
  <c r="J57" i="15"/>
  <c r="J51" i="15"/>
  <c r="J42" i="15"/>
  <c r="F44" i="15"/>
  <c r="J30" i="15"/>
  <c r="J27" i="15"/>
  <c r="D17" i="15"/>
  <c r="H20" i="15"/>
  <c r="J12" i="15"/>
  <c r="K10" i="15"/>
  <c r="D9" i="15"/>
  <c r="K7" i="15"/>
  <c r="L7" i="15" s="1"/>
  <c r="K5" i="15"/>
  <c r="J6" i="15"/>
  <c r="D45" i="15"/>
  <c r="F45" i="15"/>
  <c r="H18" i="15"/>
  <c r="F52" i="15"/>
  <c r="F41" i="15"/>
  <c r="J36" i="15"/>
  <c r="D31" i="15"/>
  <c r="F31" i="15"/>
  <c r="D41" i="15"/>
  <c r="D38" i="15"/>
  <c r="H60" i="15"/>
  <c r="K58" i="15"/>
  <c r="H53" i="15"/>
  <c r="K51" i="15"/>
  <c r="H45" i="15"/>
  <c r="K42" i="15"/>
  <c r="J40" i="15"/>
  <c r="D40" i="15"/>
  <c r="F29" i="15"/>
  <c r="H26" i="15"/>
  <c r="J18" i="15"/>
  <c r="K17" i="15"/>
  <c r="H11" i="15"/>
  <c r="D10" i="15"/>
  <c r="D7" i="15"/>
  <c r="D5" i="15"/>
  <c r="J60" i="15"/>
  <c r="D50" i="15"/>
  <c r="J19" i="15"/>
  <c r="J9" i="15"/>
  <c r="H8" i="15"/>
  <c r="H6" i="15"/>
  <c r="H61" i="15"/>
  <c r="J54" i="15"/>
  <c r="J58" i="15"/>
  <c r="J37" i="15"/>
  <c r="D37" i="15"/>
  <c r="D30" i="15"/>
  <c r="D27" i="15"/>
  <c r="J22" i="15"/>
  <c r="F16" i="15"/>
  <c r="H19" i="15"/>
  <c r="D11" i="15"/>
  <c r="F8" i="15"/>
  <c r="K6" i="15"/>
  <c r="F58" i="15"/>
  <c r="H52" i="15"/>
  <c r="H54" i="15"/>
  <c r="F43" i="15"/>
  <c r="K36" i="15"/>
  <c r="K31" i="15"/>
  <c r="K29" i="15"/>
  <c r="H28" i="15"/>
  <c r="D21" i="15"/>
  <c r="D18" i="15"/>
  <c r="H16" i="15"/>
  <c r="J10" i="15"/>
  <c r="H9" i="15"/>
  <c r="D8" i="15"/>
  <c r="D6" i="15"/>
  <c r="H37" i="16"/>
  <c r="D53" i="16"/>
  <c r="K43" i="16"/>
  <c r="J43" i="16"/>
  <c r="H49" i="16"/>
  <c r="D52" i="16"/>
  <c r="H43" i="16"/>
  <c r="J32" i="16"/>
  <c r="J11" i="16"/>
  <c r="J33" i="16"/>
  <c r="D19" i="16"/>
  <c r="K51" i="16"/>
  <c r="F45" i="16"/>
  <c r="K44" i="16"/>
  <c r="J42" i="16"/>
  <c r="K36" i="16"/>
  <c r="H35" i="16"/>
  <c r="J20" i="16"/>
  <c r="D20" i="16"/>
  <c r="F7" i="16"/>
  <c r="H7" i="16"/>
  <c r="F46" i="16"/>
  <c r="H50" i="16"/>
  <c r="F34" i="16"/>
  <c r="K32" i="16"/>
  <c r="F30" i="16"/>
  <c r="K24" i="16"/>
  <c r="L23" i="16" s="1"/>
  <c r="H20" i="16"/>
  <c r="J17" i="16"/>
  <c r="J12" i="16"/>
  <c r="D7" i="16"/>
  <c r="K7" i="16"/>
  <c r="H52" i="16"/>
  <c r="J47" i="16"/>
  <c r="D49" i="16"/>
  <c r="D44" i="16"/>
  <c r="F44" i="16"/>
  <c r="J35" i="16"/>
  <c r="D34" i="16"/>
  <c r="D36" i="16"/>
  <c r="F22" i="16"/>
  <c r="K20" i="16"/>
  <c r="H12" i="16"/>
  <c r="J8" i="16"/>
  <c r="F52" i="16"/>
  <c r="J45" i="16"/>
  <c r="K35" i="16"/>
  <c r="J30" i="16"/>
  <c r="J23" i="16"/>
  <c r="D22" i="16"/>
  <c r="F18" i="16"/>
  <c r="K12" i="16"/>
  <c r="H8" i="16"/>
  <c r="J10" i="16"/>
  <c r="F50" i="16"/>
  <c r="K47" i="16"/>
  <c r="H45" i="16"/>
  <c r="H33" i="16"/>
  <c r="K31" i="16"/>
  <c r="H25" i="16"/>
  <c r="K23" i="16"/>
  <c r="J18" i="16"/>
  <c r="D17" i="16"/>
  <c r="F10" i="16"/>
  <c r="K8" i="16"/>
  <c r="H11" i="16"/>
  <c r="J50" i="16"/>
  <c r="K52" i="16"/>
  <c r="D50" i="16"/>
  <c r="D47" i="16"/>
  <c r="K45" i="16"/>
  <c r="D35" i="16"/>
  <c r="F32" i="16"/>
  <c r="K25" i="16"/>
  <c r="H21" i="16"/>
  <c r="K19" i="16"/>
  <c r="K6" i="16"/>
  <c r="K53" i="16"/>
  <c r="J51" i="16"/>
  <c r="K46" i="16"/>
  <c r="F43" i="16"/>
  <c r="J36" i="16"/>
  <c r="K34" i="16"/>
  <c r="D31" i="16"/>
  <c r="D23" i="16"/>
  <c r="K21" i="16"/>
  <c r="H17" i="16"/>
  <c r="K11" i="16"/>
  <c r="D6" i="16"/>
  <c r="H47" i="16"/>
  <c r="D43" i="16"/>
  <c r="K30" i="16"/>
  <c r="H53" i="16"/>
  <c r="F51" i="16"/>
  <c r="J46" i="16"/>
  <c r="F42" i="16"/>
  <c r="J34" i="16"/>
  <c r="H31" i="16"/>
  <c r="H23" i="16"/>
  <c r="H19" i="16"/>
  <c r="D9" i="16"/>
  <c r="J53" i="16"/>
  <c r="F49" i="16"/>
  <c r="D46" i="16"/>
  <c r="J44" i="16"/>
  <c r="H42" i="16"/>
  <c r="J37" i="16"/>
  <c r="F33" i="16"/>
  <c r="H32" i="16"/>
  <c r="J31" i="16"/>
  <c r="D30" i="16"/>
  <c r="F25" i="16"/>
  <c r="F21" i="16"/>
  <c r="J19" i="16"/>
  <c r="D18" i="16"/>
  <c r="F17" i="16"/>
  <c r="D10" i="16"/>
  <c r="F9" i="16"/>
  <c r="J6" i="16"/>
  <c r="H6" i="16"/>
  <c r="H44" i="16"/>
  <c r="F36" i="16"/>
  <c r="J52" i="16"/>
  <c r="K49" i="16"/>
  <c r="N53" i="16" s="1"/>
  <c r="F47" i="16"/>
  <c r="D45" i="16"/>
  <c r="K33" i="16"/>
  <c r="K9" i="16"/>
  <c r="F53" i="16"/>
  <c r="D51" i="16"/>
  <c r="J49" i="16"/>
  <c r="D42" i="16"/>
  <c r="F35" i="16"/>
  <c r="H34" i="16"/>
  <c r="D32" i="16"/>
  <c r="F31" i="16"/>
  <c r="J25" i="16"/>
  <c r="D24" i="16"/>
  <c r="F23" i="16"/>
  <c r="H22" i="16"/>
  <c r="J21" i="16"/>
  <c r="F19" i="16"/>
  <c r="H18" i="16"/>
  <c r="D12" i="16"/>
  <c r="F11" i="16"/>
  <c r="H10" i="16"/>
  <c r="J9" i="16"/>
  <c r="D8" i="16"/>
  <c r="F6" i="16"/>
  <c r="K42" i="16"/>
  <c r="D33" i="16"/>
  <c r="F24" i="16"/>
  <c r="F8" i="16"/>
  <c r="H46" i="16"/>
  <c r="F37" i="16"/>
  <c r="D25" i="16"/>
  <c r="J22" i="16"/>
  <c r="D21" i="16"/>
  <c r="F20" i="16"/>
  <c r="F12" i="16"/>
  <c r="D37" i="16"/>
  <c r="H30" i="16"/>
  <c r="J61" i="15"/>
  <c r="K60" i="15"/>
  <c r="F59" i="15"/>
  <c r="D57" i="15"/>
  <c r="J53" i="15"/>
  <c r="H51" i="15"/>
  <c r="K50" i="15"/>
  <c r="H44" i="15"/>
  <c r="K43" i="15"/>
  <c r="F42" i="15"/>
  <c r="F38" i="15"/>
  <c r="D36" i="15"/>
  <c r="K28" i="15"/>
  <c r="K21" i="15"/>
  <c r="K20" i="15"/>
  <c r="K16" i="15"/>
  <c r="K9" i="15"/>
  <c r="F7" i="15"/>
  <c r="H41" i="15"/>
  <c r="K19" i="15"/>
  <c r="K12" i="15"/>
  <c r="F6" i="15"/>
  <c r="F54" i="15"/>
  <c r="J50" i="15"/>
  <c r="H37" i="15"/>
  <c r="D19" i="15"/>
  <c r="F18" i="15"/>
  <c r="K59" i="15"/>
  <c r="D54" i="15"/>
  <c r="J52" i="15"/>
  <c r="H50" i="15"/>
  <c r="K45" i="15"/>
  <c r="H43" i="15"/>
  <c r="K38" i="15"/>
  <c r="F37" i="15"/>
  <c r="D26" i="15"/>
  <c r="H21" i="15"/>
  <c r="F17" i="15"/>
  <c r="F10" i="15"/>
  <c r="D52" i="15"/>
  <c r="F61" i="15"/>
  <c r="H57" i="15"/>
  <c r="F53" i="15"/>
  <c r="D51" i="15"/>
  <c r="D44" i="15"/>
  <c r="J38" i="15"/>
  <c r="K30" i="15"/>
  <c r="K26" i="15"/>
  <c r="F5" i="15"/>
  <c r="J59" i="15"/>
  <c r="K54" i="15"/>
  <c r="F50" i="15"/>
  <c r="K44" i="15"/>
  <c r="F28" i="15"/>
  <c r="H27" i="15"/>
  <c r="J26" i="15"/>
  <c r="D22" i="15"/>
  <c r="F21" i="15"/>
  <c r="F20" i="15"/>
  <c r="H42" i="15"/>
  <c r="H38" i="15"/>
  <c r="D60" i="15"/>
  <c r="D43" i="15"/>
  <c r="J41" i="15"/>
  <c r="H30" i="15"/>
  <c r="L17" i="16" l="1"/>
  <c r="L19" i="16"/>
  <c r="L51" i="16"/>
  <c r="L25" i="16"/>
  <c r="L7" i="16"/>
  <c r="L53" i="16"/>
  <c r="L44" i="16"/>
  <c r="L26" i="15"/>
  <c r="N61" i="15"/>
  <c r="L6" i="15"/>
  <c r="L21" i="15"/>
  <c r="L52" i="15"/>
  <c r="L12" i="15"/>
  <c r="N52" i="16"/>
  <c r="L20" i="16"/>
  <c r="L30" i="16"/>
  <c r="L22" i="16"/>
  <c r="L24" i="16"/>
  <c r="N51" i="16"/>
  <c r="L18" i="16"/>
  <c r="L9" i="16"/>
  <c r="L21" i="16"/>
  <c r="L33" i="16"/>
  <c r="L42" i="16"/>
  <c r="N42" i="16"/>
  <c r="L43" i="16"/>
  <c r="L52" i="16"/>
  <c r="N46" i="16"/>
  <c r="N44" i="16"/>
  <c r="L45" i="16"/>
  <c r="L10" i="16"/>
  <c r="L36" i="16"/>
  <c r="L6" i="16"/>
  <c r="L46" i="16"/>
  <c r="L11" i="16"/>
  <c r="N43" i="16"/>
  <c r="L37" i="16"/>
  <c r="L35" i="16"/>
  <c r="L8" i="16"/>
  <c r="L31" i="16"/>
  <c r="L49" i="16"/>
  <c r="N49" i="16"/>
  <c r="L47" i="16"/>
  <c r="N50" i="16"/>
  <c r="L12" i="16"/>
  <c r="L34" i="16"/>
  <c r="L32" i="16"/>
  <c r="N45" i="16"/>
  <c r="N47" i="16"/>
  <c r="L50" i="16"/>
  <c r="L59" i="15"/>
  <c r="N59" i="15"/>
  <c r="L43" i="15"/>
  <c r="N43" i="15"/>
  <c r="L60" i="15"/>
  <c r="N60" i="15"/>
  <c r="N40" i="15"/>
  <c r="N52" i="15"/>
  <c r="L19" i="15"/>
  <c r="L28" i="15"/>
  <c r="L5" i="15"/>
  <c r="L11" i="15"/>
  <c r="N38" i="15"/>
  <c r="L38" i="15"/>
  <c r="L50" i="15"/>
  <c r="N50" i="15"/>
  <c r="L42" i="15"/>
  <c r="L44" i="15"/>
  <c r="N44" i="15"/>
  <c r="L17" i="15"/>
  <c r="L61" i="15"/>
  <c r="L36" i="15"/>
  <c r="N53" i="15"/>
  <c r="L29" i="15"/>
  <c r="L54" i="15"/>
  <c r="N54" i="15"/>
  <c r="L22" i="15"/>
  <c r="N58" i="15"/>
  <c r="N41" i="15"/>
  <c r="L16" i="15"/>
  <c r="L40" i="15"/>
  <c r="L57" i="15"/>
  <c r="L58" i="15"/>
  <c r="L27" i="15"/>
  <c r="N36" i="15"/>
  <c r="L30" i="15"/>
  <c r="L10" i="15"/>
  <c r="N42" i="15"/>
  <c r="N37" i="15"/>
  <c r="L45" i="15"/>
  <c r="N45" i="15"/>
  <c r="L18" i="15"/>
  <c r="N51" i="15"/>
  <c r="L9" i="15"/>
  <c r="L53" i="15"/>
  <c r="L51" i="15"/>
  <c r="L31" i="15"/>
  <c r="L20" i="15"/>
  <c r="L37" i="15"/>
  <c r="L41" i="15"/>
  <c r="N57" i="15"/>
</calcChain>
</file>

<file path=xl/sharedStrings.xml><?xml version="1.0" encoding="utf-8"?>
<sst xmlns="http://schemas.openxmlformats.org/spreadsheetml/2006/main" count="195" uniqueCount="99">
  <si>
    <t>Over all ages</t>
  </si>
  <si>
    <t>Vault</t>
  </si>
  <si>
    <t>Pos</t>
  </si>
  <si>
    <t>Floor</t>
  </si>
  <si>
    <t>All ages</t>
  </si>
  <si>
    <t>In age</t>
  </si>
  <si>
    <t>In Age</t>
  </si>
  <si>
    <t>Jessica Jones</t>
  </si>
  <si>
    <t>Total</t>
  </si>
  <si>
    <t>Liv Blades</t>
  </si>
  <si>
    <t>Neve McGinn</t>
  </si>
  <si>
    <t>Lacey Taylor</t>
  </si>
  <si>
    <t>Poppy Overton</t>
  </si>
  <si>
    <t>Lily Overton</t>
  </si>
  <si>
    <t>Bronze 14+</t>
  </si>
  <si>
    <t>Poppy Waite</t>
  </si>
  <si>
    <t>Eva Taylor</t>
  </si>
  <si>
    <t>Phoebe Speed</t>
  </si>
  <si>
    <t>Mia Haxby</t>
  </si>
  <si>
    <t>Matilda Mullin</t>
  </si>
  <si>
    <t>Bronze 13 &amp; under</t>
  </si>
  <si>
    <t>Beam</t>
  </si>
  <si>
    <t>Bars</t>
  </si>
  <si>
    <t>Kimberlie Tetere</t>
  </si>
  <si>
    <t>Emily Knowles</t>
  </si>
  <si>
    <t>Ella Curtis</t>
  </si>
  <si>
    <t>Emilia Clements</t>
  </si>
  <si>
    <t>Sophie Roberts</t>
  </si>
  <si>
    <t>Copper 11/12 years</t>
  </si>
  <si>
    <t>Nicole Karpejeva</t>
  </si>
  <si>
    <t>Sophia Ison</t>
  </si>
  <si>
    <t>Maisie Buckthorp</t>
  </si>
  <si>
    <t>Copper 9/10 years</t>
  </si>
  <si>
    <t>Lacey Page</t>
  </si>
  <si>
    <t>Isla Martin</t>
  </si>
  <si>
    <t>Darcie Elkin</t>
  </si>
  <si>
    <t>Daisy Smith</t>
  </si>
  <si>
    <t>Evelyn Penney</t>
  </si>
  <si>
    <t>Florence Jones</t>
  </si>
  <si>
    <t>Zinc</t>
  </si>
  <si>
    <t>Sienna Carr-Hoskins</t>
  </si>
  <si>
    <t>Alyssa Watt</t>
  </si>
  <si>
    <t>Claudia Olayo</t>
  </si>
  <si>
    <t>Willow Kirk</t>
  </si>
  <si>
    <t>Merryn MacGregor</t>
  </si>
  <si>
    <t>Lourdes Jackson</t>
  </si>
  <si>
    <t>Laura Godziszewska</t>
  </si>
  <si>
    <t>GFA - Advanced</t>
  </si>
  <si>
    <t>Isla Seetram</t>
  </si>
  <si>
    <t>Alyssia Knott</t>
  </si>
  <si>
    <t>Emelia Croft</t>
  </si>
  <si>
    <t>Pippa Bradley</t>
  </si>
  <si>
    <t>Evie- Rose Allen</t>
  </si>
  <si>
    <t>Ava Stubbs</t>
  </si>
  <si>
    <t>Millie Flack</t>
  </si>
  <si>
    <t>Amelie Downey</t>
  </si>
  <si>
    <t>GFA - Intermediate</t>
  </si>
  <si>
    <t>Round 2</t>
  </si>
  <si>
    <t>LINCOLN CITY GYMNASTICS CLUB COMPETITION - 21 June 2025</t>
  </si>
  <si>
    <t>Connie Thornton</t>
  </si>
  <si>
    <t>Annabelle Main</t>
  </si>
  <si>
    <t>Siwen Wang</t>
  </si>
  <si>
    <t>Eva Murphy</t>
  </si>
  <si>
    <t>Hannah Coulson</t>
  </si>
  <si>
    <t>Tin 9+ years</t>
  </si>
  <si>
    <t>Alice Martin</t>
  </si>
  <si>
    <t>Duaa Hussain</t>
  </si>
  <si>
    <t>Willow Tinker</t>
  </si>
  <si>
    <t>Lilly Rayney</t>
  </si>
  <si>
    <t>Maya Brown</t>
  </si>
  <si>
    <t>Poppy Moore</t>
  </si>
  <si>
    <t>Tin - 8 years</t>
  </si>
  <si>
    <t>Elsie Wilkinson</t>
  </si>
  <si>
    <t>Emily-Rose Robinson</t>
  </si>
  <si>
    <t>Athena Over</t>
  </si>
  <si>
    <t>India Nicholas</t>
  </si>
  <si>
    <t>Gracie Forbes</t>
  </si>
  <si>
    <t>Ella Poole</t>
  </si>
  <si>
    <t>Alika Kumbarova</t>
  </si>
  <si>
    <t xml:space="preserve">Brass </t>
  </si>
  <si>
    <t>Miaya Watt</t>
  </si>
  <si>
    <t>Florence Penney</t>
  </si>
  <si>
    <t>Sylvie Hughes</t>
  </si>
  <si>
    <t>Lottie Giles</t>
  </si>
  <si>
    <t>Rosie Clayton</t>
  </si>
  <si>
    <t>Lily-Mae Clay</t>
  </si>
  <si>
    <t>Neive Biggins</t>
  </si>
  <si>
    <t>Jewel Mope</t>
  </si>
  <si>
    <t>Matilda Mason</t>
  </si>
  <si>
    <t>Nickel</t>
  </si>
  <si>
    <t>Annabelle Glynn</t>
  </si>
  <si>
    <t>Ava Craigen-Clark</t>
  </si>
  <si>
    <t>Rosie Sturton</t>
  </si>
  <si>
    <t>Annabelle Saunders</t>
  </si>
  <si>
    <t>Amelia Krumina</t>
  </si>
  <si>
    <t>Imogen Gardiner</t>
  </si>
  <si>
    <t>Emmeline Cook</t>
  </si>
  <si>
    <t xml:space="preserve">GFA Novice </t>
  </si>
  <si>
    <t>Round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</si>
</sst>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3" borderId="2" xfId="0" applyFill="1" applyBorder="1"/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0" fillId="4" borderId="2" xfId="0" applyFill="1" applyBorder="1"/>
    <xf numFmtId="0" fontId="0" fillId="5" borderId="2" xfId="0" applyFill="1" applyBorder="1"/>
    <xf numFmtId="0" fontId="2" fillId="0" borderId="3" xfId="0" applyFont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1" fillId="6" borderId="1" xfId="0" applyFont="1" applyFill="1" applyBorder="1"/>
    <xf numFmtId="0" fontId="4" fillId="0" borderId="3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/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F4C5-ED3F-9149-A7E0-6C446E134620}">
  <sheetPr>
    <pageSetUpPr fitToPage="1"/>
  </sheetPr>
  <dimension ref="A1:N53"/>
  <sheetViews>
    <sheetView zoomScaleNormal="100" workbookViewId="0">
      <pane xSplit="2" ySplit="2" topLeftCell="C44" activePane="bottomRight" state="frozen"/>
      <selection pane="topRight" activeCell="C1" sqref="C1"/>
      <selection pane="bottomLeft" activeCell="A3" sqref="A3"/>
      <selection pane="bottomRight" activeCell="A8" sqref="A8:XFD8"/>
    </sheetView>
  </sheetViews>
  <sheetFormatPr baseColWidth="10" defaultColWidth="8.83203125" defaultRowHeight="15" x14ac:dyDescent="0.2"/>
  <cols>
    <col min="1" max="1" width="4.6640625" customWidth="1"/>
    <col min="2" max="2" width="21.6640625" bestFit="1" customWidth="1"/>
    <col min="3" max="12" width="7.33203125" customWidth="1"/>
    <col min="13" max="13" width="3.33203125" customWidth="1"/>
    <col min="14" max="14" width="7.33203125" customWidth="1"/>
    <col min="15" max="15" width="2.83203125" customWidth="1"/>
  </cols>
  <sheetData>
    <row r="1" spans="1:13" x14ac:dyDescent="0.2">
      <c r="B1" s="8" t="s">
        <v>58</v>
      </c>
      <c r="C1" s="8"/>
      <c r="D1" s="8"/>
      <c r="E1" s="8"/>
      <c r="F1" s="8"/>
      <c r="G1" s="8"/>
      <c r="H1" s="8"/>
      <c r="I1" s="8"/>
      <c r="J1" s="8"/>
    </row>
    <row r="2" spans="1:13" ht="16" x14ac:dyDescent="0.2">
      <c r="E2" s="26" t="s">
        <v>98</v>
      </c>
    </row>
    <row r="3" spans="1:13" x14ac:dyDescent="0.2">
      <c r="C3" s="24" t="s">
        <v>0</v>
      </c>
      <c r="D3" s="23"/>
      <c r="E3" s="23"/>
      <c r="F3" s="23"/>
      <c r="G3" s="23"/>
      <c r="H3" s="23"/>
      <c r="I3" s="23"/>
      <c r="J3" s="23"/>
      <c r="L3" t="s">
        <v>4</v>
      </c>
    </row>
    <row r="4" spans="1:13" x14ac:dyDescent="0.2">
      <c r="C4" s="5" t="s">
        <v>1</v>
      </c>
      <c r="D4" s="6" t="s">
        <v>2</v>
      </c>
      <c r="E4" s="22" t="s">
        <v>22</v>
      </c>
      <c r="F4" s="6" t="s">
        <v>2</v>
      </c>
      <c r="G4" s="21" t="s">
        <v>21</v>
      </c>
      <c r="H4" s="6" t="s">
        <v>2</v>
      </c>
      <c r="I4" s="20" t="s">
        <v>3</v>
      </c>
      <c r="J4" s="6" t="s">
        <v>2</v>
      </c>
      <c r="K4" s="12" t="s">
        <v>8</v>
      </c>
      <c r="L4" s="6" t="s">
        <v>2</v>
      </c>
      <c r="M4" s="25"/>
    </row>
    <row r="5" spans="1:13" x14ac:dyDescent="0.2">
      <c r="B5" s="16" t="s">
        <v>97</v>
      </c>
    </row>
    <row r="6" spans="1:13" x14ac:dyDescent="0.2">
      <c r="A6" s="1">
        <v>29</v>
      </c>
      <c r="B6" s="1" t="s">
        <v>96</v>
      </c>
      <c r="C6" s="2">
        <f>10-1</f>
        <v>9</v>
      </c>
      <c r="D6" s="3">
        <f>RANK(C6,C$6:C$12)</f>
        <v>5</v>
      </c>
      <c r="E6" s="11">
        <f>9-2.8</f>
        <v>6.2</v>
      </c>
      <c r="F6" s="3">
        <f>RANK(E6,E$6:E$12)</f>
        <v>7</v>
      </c>
      <c r="G6" s="10">
        <f>10-2.2</f>
        <v>7.8</v>
      </c>
      <c r="H6" s="3">
        <f>RANK(G6,G$6:G$12)</f>
        <v>7</v>
      </c>
      <c r="I6" s="4">
        <f>10-2.55</f>
        <v>7.45</v>
      </c>
      <c r="J6" s="3">
        <f>RANK(I6,I$6:I$12)</f>
        <v>3</v>
      </c>
      <c r="K6" s="3">
        <f>+C6+E6+G6+I6</f>
        <v>30.45</v>
      </c>
      <c r="L6" s="3">
        <f>RANK(K6,K$6:K$12)</f>
        <v>7</v>
      </c>
    </row>
    <row r="7" spans="1:13" x14ac:dyDescent="0.2">
      <c r="A7" s="1">
        <v>30</v>
      </c>
      <c r="B7" s="1" t="s">
        <v>95</v>
      </c>
      <c r="C7" s="2">
        <f>10-1</f>
        <v>9</v>
      </c>
      <c r="D7" s="3">
        <f>RANK(C7,C$6:C$12)</f>
        <v>5</v>
      </c>
      <c r="E7" s="11">
        <f>10-1.8</f>
        <v>8.1999999999999993</v>
      </c>
      <c r="F7" s="3">
        <f>RANK(E7,E$6:E$12)</f>
        <v>1</v>
      </c>
      <c r="G7" s="10">
        <f>10-1.3</f>
        <v>8.6999999999999993</v>
      </c>
      <c r="H7" s="3">
        <f>RANK(G7,G$6:G$12)</f>
        <v>4</v>
      </c>
      <c r="I7" s="4">
        <f>10-2.8</f>
        <v>7.2</v>
      </c>
      <c r="J7" s="3">
        <f>RANK(I7,I$6:I$12)</f>
        <v>5</v>
      </c>
      <c r="K7" s="3">
        <f>+C7+E7+G7+I7</f>
        <v>33.1</v>
      </c>
      <c r="L7" s="3">
        <f>RANK(K7,K$6:K$12)</f>
        <v>1</v>
      </c>
    </row>
    <row r="8" spans="1:13" x14ac:dyDescent="0.2">
      <c r="A8" s="1">
        <v>32</v>
      </c>
      <c r="B8" s="1" t="s">
        <v>94</v>
      </c>
      <c r="C8" s="2">
        <f>10-0.8</f>
        <v>9.1999999999999993</v>
      </c>
      <c r="D8" s="3">
        <f>RANK(C8,C$6:C$12)</f>
        <v>1</v>
      </c>
      <c r="E8" s="11">
        <f>10-1.9</f>
        <v>8.1</v>
      </c>
      <c r="F8" s="3">
        <f>RANK(E8,E$6:E$12)</f>
        <v>2</v>
      </c>
      <c r="G8" s="10">
        <f>10-1.5</f>
        <v>8.5</v>
      </c>
      <c r="H8" s="3">
        <f>RANK(G8,G$6:G$12)</f>
        <v>5</v>
      </c>
      <c r="I8" s="4">
        <f>10-2.8</f>
        <v>7.2</v>
      </c>
      <c r="J8" s="3">
        <f>RANK(I8,I$6:I$12)</f>
        <v>5</v>
      </c>
      <c r="K8" s="3">
        <f>+C8+E8+G8+I8</f>
        <v>33</v>
      </c>
      <c r="L8" s="3">
        <f>RANK(K8,K$6:K$12)</f>
        <v>2</v>
      </c>
    </row>
    <row r="9" spans="1:13" x14ac:dyDescent="0.2">
      <c r="A9" s="1">
        <v>33</v>
      </c>
      <c r="B9" s="1" t="s">
        <v>93</v>
      </c>
      <c r="C9" s="2">
        <f>10-1.1</f>
        <v>8.9</v>
      </c>
      <c r="D9" s="3">
        <f>RANK(C9,C$6:C$12)</f>
        <v>7</v>
      </c>
      <c r="E9" s="11">
        <f>10-3.3</f>
        <v>6.7</v>
      </c>
      <c r="F9" s="3">
        <f>RANK(E9,E$6:E$12)</f>
        <v>6</v>
      </c>
      <c r="G9" s="10">
        <f>10-1</f>
        <v>9</v>
      </c>
      <c r="H9" s="3">
        <f>RANK(G9,G$6:G$12)</f>
        <v>1</v>
      </c>
      <c r="I9" s="4">
        <f>10-2.35</f>
        <v>7.65</v>
      </c>
      <c r="J9" s="3">
        <f>RANK(I9,I$6:I$12)</f>
        <v>1</v>
      </c>
      <c r="K9" s="3">
        <f>+C9+E9+G9+I9</f>
        <v>32.25</v>
      </c>
      <c r="L9" s="3">
        <f>RANK(K9,K$6:K$12)</f>
        <v>5</v>
      </c>
    </row>
    <row r="10" spans="1:13" x14ac:dyDescent="0.2">
      <c r="A10" s="1">
        <v>34</v>
      </c>
      <c r="B10" s="1" t="s">
        <v>92</v>
      </c>
      <c r="C10" s="2">
        <f>10-0.9</f>
        <v>9.1</v>
      </c>
      <c r="D10" s="3">
        <f>RANK(C10,C$6:C$12)</f>
        <v>3</v>
      </c>
      <c r="E10" s="11">
        <f>10-2.3</f>
        <v>7.7</v>
      </c>
      <c r="F10" s="3">
        <f>RANK(E10,E$6:E$12)</f>
        <v>3</v>
      </c>
      <c r="G10" s="10">
        <f>10-2</f>
        <v>8</v>
      </c>
      <c r="H10" s="3">
        <f>RANK(G10,G$6:G$12)</f>
        <v>6</v>
      </c>
      <c r="I10" s="4">
        <f>10-3.15</f>
        <v>6.85</v>
      </c>
      <c r="J10" s="3">
        <f>RANK(I10,I$6:I$12)</f>
        <v>7</v>
      </c>
      <c r="K10" s="3">
        <f>+C10+E10+G10+I10</f>
        <v>31.65</v>
      </c>
      <c r="L10" s="3">
        <f>RANK(K10,K$6:K$12)</f>
        <v>6</v>
      </c>
    </row>
    <row r="11" spans="1:13" x14ac:dyDescent="0.2">
      <c r="A11" s="1">
        <v>35</v>
      </c>
      <c r="B11" s="1" t="s">
        <v>91</v>
      </c>
      <c r="C11" s="2">
        <f>10-0.95</f>
        <v>9.0500000000000007</v>
      </c>
      <c r="D11" s="3">
        <f>RANK(C11,C$6:C$12)</f>
        <v>4</v>
      </c>
      <c r="E11" s="11">
        <f>10-2.9</f>
        <v>7.1</v>
      </c>
      <c r="F11" s="3">
        <f>RANK(E11,E$6:E$12)</f>
        <v>5</v>
      </c>
      <c r="G11" s="10">
        <f>10-1.1</f>
        <v>8.9</v>
      </c>
      <c r="H11" s="3">
        <f>RANK(G11,G$6:G$12)</f>
        <v>2</v>
      </c>
      <c r="I11" s="4">
        <f>10-2.4</f>
        <v>7.6</v>
      </c>
      <c r="J11" s="3">
        <f>RANK(I11,I$6:I$12)</f>
        <v>2</v>
      </c>
      <c r="K11" s="3">
        <f>+C11+E11+G11+I11</f>
        <v>32.65</v>
      </c>
      <c r="L11" s="3">
        <f>RANK(K11,K$6:K$12)</f>
        <v>3</v>
      </c>
    </row>
    <row r="12" spans="1:13" x14ac:dyDescent="0.2">
      <c r="A12" s="1">
        <v>36</v>
      </c>
      <c r="B12" s="1" t="s">
        <v>90</v>
      </c>
      <c r="C12" s="2">
        <f>10-0.8</f>
        <v>9.1999999999999993</v>
      </c>
      <c r="D12" s="3">
        <f>RANK(C12,C$6:C$12)</f>
        <v>1</v>
      </c>
      <c r="E12" s="11">
        <f>10-2.8</f>
        <v>7.2</v>
      </c>
      <c r="F12" s="3">
        <f>RANK(E12,E$6:E$12)</f>
        <v>4</v>
      </c>
      <c r="G12" s="10">
        <f>10-1.1</f>
        <v>8.9</v>
      </c>
      <c r="H12" s="3">
        <f>RANK(G12,G$6:G$12)</f>
        <v>2</v>
      </c>
      <c r="I12" s="4">
        <f>10-2.7</f>
        <v>7.3</v>
      </c>
      <c r="J12" s="3">
        <f>RANK(I12,I$6:I$12)</f>
        <v>4</v>
      </c>
      <c r="K12" s="3">
        <f>+C12+E12+G12+I12</f>
        <v>32.599999999999994</v>
      </c>
      <c r="L12" s="3">
        <f>RANK(K12,K$6:K$12)</f>
        <v>4</v>
      </c>
    </row>
    <row r="14" spans="1:13" x14ac:dyDescent="0.2">
      <c r="C14" s="24" t="s">
        <v>0</v>
      </c>
      <c r="D14" s="23"/>
      <c r="E14" s="23"/>
      <c r="F14" s="23"/>
      <c r="G14" s="23"/>
      <c r="H14" s="23"/>
      <c r="I14" s="23"/>
      <c r="J14" s="23"/>
      <c r="L14" t="s">
        <v>4</v>
      </c>
    </row>
    <row r="15" spans="1:13" x14ac:dyDescent="0.2">
      <c r="C15" s="5" t="s">
        <v>1</v>
      </c>
      <c r="D15" s="6" t="s">
        <v>2</v>
      </c>
      <c r="E15" s="22" t="s">
        <v>22</v>
      </c>
      <c r="F15" s="6" t="s">
        <v>2</v>
      </c>
      <c r="G15" s="21" t="s">
        <v>21</v>
      </c>
      <c r="H15" s="6" t="s">
        <v>2</v>
      </c>
      <c r="I15" s="20" t="s">
        <v>3</v>
      </c>
      <c r="J15" s="6" t="s">
        <v>2</v>
      </c>
      <c r="K15" s="6" t="s">
        <v>8</v>
      </c>
      <c r="L15" s="6" t="s">
        <v>2</v>
      </c>
      <c r="M15" s="25"/>
    </row>
    <row r="16" spans="1:13" x14ac:dyDescent="0.2">
      <c r="B16" s="16" t="s">
        <v>89</v>
      </c>
    </row>
    <row r="17" spans="1:13" x14ac:dyDescent="0.2">
      <c r="A17" s="1">
        <v>10</v>
      </c>
      <c r="B17" s="1" t="s">
        <v>88</v>
      </c>
      <c r="C17" s="2">
        <f>12.3-1.2</f>
        <v>11.100000000000001</v>
      </c>
      <c r="D17" s="3">
        <f>RANK(C17,C$17:C$25)</f>
        <v>7</v>
      </c>
      <c r="E17" s="11">
        <f>12-1.6</f>
        <v>10.4</v>
      </c>
      <c r="F17" s="3">
        <f>RANK(E17,E$17:E$25)</f>
        <v>2</v>
      </c>
      <c r="G17" s="10">
        <f>12.1-2.7</f>
        <v>9.3999999999999986</v>
      </c>
      <c r="H17" s="3">
        <f>RANK(G17,G$17:G$25)</f>
        <v>1</v>
      </c>
      <c r="I17" s="4">
        <f>14-4.25</f>
        <v>9.75</v>
      </c>
      <c r="J17" s="3">
        <f>RANK(I17,I$17:I$25)</f>
        <v>4</v>
      </c>
      <c r="K17" s="3">
        <f>+C17+E17+G17+I17</f>
        <v>40.65</v>
      </c>
      <c r="L17" s="3">
        <f>RANK(K17,K$17:K$25)</f>
        <v>2</v>
      </c>
    </row>
    <row r="18" spans="1:13" x14ac:dyDescent="0.2">
      <c r="A18" s="1">
        <v>21</v>
      </c>
      <c r="B18" s="1" t="s">
        <v>87</v>
      </c>
      <c r="C18" s="2">
        <f>12.3-1.1</f>
        <v>11.200000000000001</v>
      </c>
      <c r="D18" s="3">
        <f>RANK(C18,C$17:C$25)</f>
        <v>4</v>
      </c>
      <c r="E18" s="11">
        <f>12-4.1</f>
        <v>7.9</v>
      </c>
      <c r="F18" s="3">
        <f>RANK(E18,E$17:E$25)</f>
        <v>7</v>
      </c>
      <c r="G18" s="10">
        <f>12.1-2.7</f>
        <v>9.3999999999999986</v>
      </c>
      <c r="H18" s="3">
        <f>RANK(G18,G$17:G$25)</f>
        <v>1</v>
      </c>
      <c r="I18" s="4">
        <f>14-3.35</f>
        <v>10.65</v>
      </c>
      <c r="J18" s="3">
        <f>RANK(I18,I$17:I$25)</f>
        <v>2</v>
      </c>
      <c r="K18" s="3">
        <f>+C18+E18+G18+I18</f>
        <v>39.15</v>
      </c>
      <c r="L18" s="3">
        <f>RANK(K18,K$17:K$25)</f>
        <v>6</v>
      </c>
    </row>
    <row r="19" spans="1:13" x14ac:dyDescent="0.2">
      <c r="A19" s="1">
        <v>22</v>
      </c>
      <c r="B19" s="1" t="s">
        <v>86</v>
      </c>
      <c r="C19" s="2">
        <f>12.3-1</f>
        <v>11.3</v>
      </c>
      <c r="D19" s="3">
        <f>RANK(C19,C$17:C$25)</f>
        <v>3</v>
      </c>
      <c r="E19" s="11">
        <f>12-3.8</f>
        <v>8.1999999999999993</v>
      </c>
      <c r="F19" s="3">
        <f>RANK(E19,E$17:E$25)</f>
        <v>6</v>
      </c>
      <c r="G19" s="10">
        <f>12.1-4.3</f>
        <v>7.8</v>
      </c>
      <c r="H19" s="3">
        <f>RANK(G19,G$17:G$25)</f>
        <v>7</v>
      </c>
      <c r="I19" s="4">
        <f>13.5-5.95</f>
        <v>7.55</v>
      </c>
      <c r="J19" s="3">
        <f>RANK(I19,I$17:I$25)</f>
        <v>8</v>
      </c>
      <c r="K19" s="3">
        <f>+C19+E19+G19+I19</f>
        <v>34.85</v>
      </c>
      <c r="L19" s="3">
        <f>RANK(K19,K$17:K$25)</f>
        <v>8</v>
      </c>
    </row>
    <row r="20" spans="1:13" x14ac:dyDescent="0.2">
      <c r="A20" s="1">
        <v>23</v>
      </c>
      <c r="B20" s="1" t="s">
        <v>85</v>
      </c>
      <c r="C20" s="2">
        <f>12.3-0.9</f>
        <v>11.4</v>
      </c>
      <c r="D20" s="3">
        <f>RANK(C20,C$17:C$25)</f>
        <v>2</v>
      </c>
      <c r="E20" s="11">
        <f>12-1.6</f>
        <v>10.4</v>
      </c>
      <c r="F20" s="3">
        <f>RANK(E20,E$17:E$25)</f>
        <v>2</v>
      </c>
      <c r="G20" s="10">
        <f>12.1-3.1</f>
        <v>9</v>
      </c>
      <c r="H20" s="3">
        <f>RANK(G20,G$17:G$25)</f>
        <v>4</v>
      </c>
      <c r="I20" s="4">
        <f>14-4.5</f>
        <v>9.5</v>
      </c>
      <c r="J20" s="3">
        <f>RANK(I20,I$17:I$25)</f>
        <v>6</v>
      </c>
      <c r="K20" s="3">
        <f>+C20+E20+G20+I20</f>
        <v>40.299999999999997</v>
      </c>
      <c r="L20" s="3">
        <f>RANK(K20,K$17:K$25)</f>
        <v>3</v>
      </c>
    </row>
    <row r="21" spans="1:13" x14ac:dyDescent="0.2">
      <c r="A21" s="1">
        <v>24</v>
      </c>
      <c r="B21" s="1" t="s">
        <v>84</v>
      </c>
      <c r="C21" s="2">
        <f>12.3-1.1</f>
        <v>11.200000000000001</v>
      </c>
      <c r="D21" s="3">
        <f>RANK(C21,C$17:C$25)</f>
        <v>4</v>
      </c>
      <c r="E21" s="11">
        <f>12-4.8</f>
        <v>7.2</v>
      </c>
      <c r="F21" s="3">
        <f>RANK(E21,E$17:E$25)</f>
        <v>9</v>
      </c>
      <c r="G21" s="10">
        <f>12.1-4.4</f>
        <v>7.6999999999999993</v>
      </c>
      <c r="H21" s="3">
        <f>RANK(G21,G$17:G$25)</f>
        <v>8</v>
      </c>
      <c r="I21" s="4">
        <f>13.5-6.2</f>
        <v>7.3</v>
      </c>
      <c r="J21" s="3">
        <f>RANK(I21,I$17:I$25)</f>
        <v>9</v>
      </c>
      <c r="K21" s="3">
        <f>+C21+E21+G21+I21</f>
        <v>33.4</v>
      </c>
      <c r="L21" s="3">
        <f>RANK(K21,K$17:K$25)</f>
        <v>9</v>
      </c>
    </row>
    <row r="22" spans="1:13" x14ac:dyDescent="0.2">
      <c r="A22" s="1">
        <v>25</v>
      </c>
      <c r="B22" s="1" t="s">
        <v>83</v>
      </c>
      <c r="C22" s="2">
        <f>12.3-1.2</f>
        <v>11.100000000000001</v>
      </c>
      <c r="D22" s="3">
        <f>RANK(C22,C$17:C$25)</f>
        <v>7</v>
      </c>
      <c r="E22" s="11">
        <f>12-1.9</f>
        <v>10.1</v>
      </c>
      <c r="F22" s="3">
        <f>RANK(E22,E$17:E$25)</f>
        <v>5</v>
      </c>
      <c r="G22" s="10">
        <f>12.1-3.5</f>
        <v>8.6</v>
      </c>
      <c r="H22" s="3">
        <f>RANK(G22,G$17:G$25)</f>
        <v>6</v>
      </c>
      <c r="I22" s="4">
        <f>14-3.95</f>
        <v>10.050000000000001</v>
      </c>
      <c r="J22" s="3">
        <f>RANK(I22,I$17:I$25)</f>
        <v>3</v>
      </c>
      <c r="K22" s="3">
        <f>+C22+E22+G22+I22</f>
        <v>39.850000000000009</v>
      </c>
      <c r="L22" s="3">
        <f>RANK(K22,K$17:K$25)</f>
        <v>5</v>
      </c>
    </row>
    <row r="23" spans="1:13" x14ac:dyDescent="0.2">
      <c r="A23" s="1">
        <v>26</v>
      </c>
      <c r="B23" s="1" t="s">
        <v>82</v>
      </c>
      <c r="C23" s="2">
        <f>12.3-1.1</f>
        <v>11.200000000000001</v>
      </c>
      <c r="D23" s="3">
        <f>RANK(C23,C$17:C$25)</f>
        <v>4</v>
      </c>
      <c r="E23" s="11">
        <f>12-1.8</f>
        <v>10.199999999999999</v>
      </c>
      <c r="F23" s="3">
        <f>RANK(E23,E$17:E$25)</f>
        <v>4</v>
      </c>
      <c r="G23" s="10">
        <f>12.1-3</f>
        <v>9.1</v>
      </c>
      <c r="H23" s="3">
        <f>RANK(G23,G$17:G$25)</f>
        <v>3</v>
      </c>
      <c r="I23" s="4">
        <f>13.5-3.85</f>
        <v>9.65</v>
      </c>
      <c r="J23" s="3">
        <f>RANK(I23,I$17:I$25)</f>
        <v>5</v>
      </c>
      <c r="K23" s="3">
        <f>+C23+E23+G23+I23</f>
        <v>40.15</v>
      </c>
      <c r="L23" s="3">
        <f>RANK(K23,K$17:K$25)</f>
        <v>4</v>
      </c>
    </row>
    <row r="24" spans="1:13" x14ac:dyDescent="0.2">
      <c r="A24" s="1">
        <v>27</v>
      </c>
      <c r="B24" s="1" t="s">
        <v>81</v>
      </c>
      <c r="C24" s="2">
        <f>12.3-1.3</f>
        <v>11</v>
      </c>
      <c r="D24" s="3">
        <f>RANK(C24,C$17:C$25)</f>
        <v>9</v>
      </c>
      <c r="E24" s="11">
        <f>12-4.3</f>
        <v>7.7</v>
      </c>
      <c r="F24" s="3">
        <f>RANK(E24,E$17:E$25)</f>
        <v>8</v>
      </c>
      <c r="G24" s="10">
        <f>12.1-4.4</f>
        <v>7.6999999999999993</v>
      </c>
      <c r="H24" s="3">
        <f>RANK(G24,G$17:G$25)</f>
        <v>8</v>
      </c>
      <c r="I24" s="4">
        <f>14-5</f>
        <v>9</v>
      </c>
      <c r="J24" s="3">
        <f>RANK(I24,I$17:I$25)</f>
        <v>7</v>
      </c>
      <c r="K24" s="3">
        <f>+C24+E24+G24+I24</f>
        <v>35.4</v>
      </c>
      <c r="L24" s="3">
        <f>RANK(K24,K$17:K$25)</f>
        <v>7</v>
      </c>
    </row>
    <row r="25" spans="1:13" x14ac:dyDescent="0.2">
      <c r="A25" s="1">
        <v>28</v>
      </c>
      <c r="B25" s="1" t="s">
        <v>80</v>
      </c>
      <c r="C25" s="2">
        <f>12.3-0.8</f>
        <v>11.5</v>
      </c>
      <c r="D25" s="3">
        <f>RANK(C25,C$17:C$25)</f>
        <v>1</v>
      </c>
      <c r="E25" s="11">
        <f>12-1.3</f>
        <v>10.7</v>
      </c>
      <c r="F25" s="3">
        <f>RANK(E25,E$17:E$25)</f>
        <v>1</v>
      </c>
      <c r="G25" s="10">
        <f>12.1-3.2</f>
        <v>8.8999999999999986</v>
      </c>
      <c r="H25" s="3">
        <f>RANK(G25,G$17:G$25)</f>
        <v>5</v>
      </c>
      <c r="I25" s="4">
        <f>14-3.25</f>
        <v>10.75</v>
      </c>
      <c r="J25" s="3">
        <f>RANK(I25,I$17:I$25)</f>
        <v>1</v>
      </c>
      <c r="K25" s="3">
        <f>+C25+E25+G25+I25</f>
        <v>41.849999999999994</v>
      </c>
      <c r="L25" s="3">
        <f>RANK(K25,K$17:K$25)</f>
        <v>1</v>
      </c>
    </row>
    <row r="27" spans="1:13" x14ac:dyDescent="0.2">
      <c r="C27" s="24" t="s">
        <v>0</v>
      </c>
      <c r="D27" s="23"/>
      <c r="E27" s="23"/>
      <c r="F27" s="23"/>
      <c r="G27" s="23"/>
      <c r="H27" s="23"/>
      <c r="I27" s="23"/>
      <c r="J27" s="23"/>
      <c r="L27" t="s">
        <v>4</v>
      </c>
    </row>
    <row r="28" spans="1:13" x14ac:dyDescent="0.2">
      <c r="C28" s="5" t="s">
        <v>1</v>
      </c>
      <c r="D28" s="6" t="s">
        <v>2</v>
      </c>
      <c r="E28" s="22" t="s">
        <v>22</v>
      </c>
      <c r="F28" s="6" t="s">
        <v>2</v>
      </c>
      <c r="G28" s="21" t="s">
        <v>21</v>
      </c>
      <c r="H28" s="6" t="s">
        <v>2</v>
      </c>
      <c r="I28" s="20" t="s">
        <v>3</v>
      </c>
      <c r="J28" s="6" t="s">
        <v>2</v>
      </c>
      <c r="K28" s="6" t="s">
        <v>8</v>
      </c>
      <c r="L28" s="6" t="s">
        <v>2</v>
      </c>
      <c r="M28" s="25"/>
    </row>
    <row r="29" spans="1:13" x14ac:dyDescent="0.2">
      <c r="B29" s="16" t="s">
        <v>79</v>
      </c>
    </row>
    <row r="30" spans="1:13" x14ac:dyDescent="0.2">
      <c r="A30" s="1">
        <v>1</v>
      </c>
      <c r="B30" s="1" t="s">
        <v>78</v>
      </c>
      <c r="C30" s="2">
        <f>12.3-1.1</f>
        <v>11.200000000000001</v>
      </c>
      <c r="D30" s="3">
        <f>RANK(C30,C$30:C$37)</f>
        <v>6</v>
      </c>
      <c r="E30" s="11">
        <f>12-1</f>
        <v>11</v>
      </c>
      <c r="F30" s="3">
        <f>RANK(E30,E$30:E$37)</f>
        <v>2</v>
      </c>
      <c r="G30" s="10">
        <f>12-1.5</f>
        <v>10.5</v>
      </c>
      <c r="H30" s="3">
        <f>RANK(G30,G$30:G$37)</f>
        <v>2</v>
      </c>
      <c r="I30" s="4">
        <f>12.3-2.75</f>
        <v>9.5500000000000007</v>
      </c>
      <c r="J30" s="3">
        <f>RANK(I30,I$30:I$37)</f>
        <v>3</v>
      </c>
      <c r="K30" s="3">
        <f>+C30+E30+G30+I30</f>
        <v>42.25</v>
      </c>
      <c r="L30" s="3">
        <f>RANK(K30,K$30:K$37)</f>
        <v>1</v>
      </c>
    </row>
    <row r="31" spans="1:13" x14ac:dyDescent="0.2">
      <c r="A31" s="1">
        <v>2</v>
      </c>
      <c r="B31" s="1" t="s">
        <v>77</v>
      </c>
      <c r="C31" s="2">
        <f>12.3-0.9</f>
        <v>11.4</v>
      </c>
      <c r="D31" s="3">
        <f>RANK(C31,C$30:C$37)</f>
        <v>4</v>
      </c>
      <c r="E31" s="11">
        <f>12-1.5</f>
        <v>10.5</v>
      </c>
      <c r="F31" s="3">
        <f>RANK(E31,E$30:E$37)</f>
        <v>5</v>
      </c>
      <c r="G31" s="10">
        <f>12-1.4</f>
        <v>10.6</v>
      </c>
      <c r="H31" s="3">
        <f>RANK(G31,G$30:G$37)</f>
        <v>1</v>
      </c>
      <c r="I31" s="4">
        <f>12.3-2.65</f>
        <v>9.65</v>
      </c>
      <c r="J31" s="3">
        <f>RANK(I31,I$30:I$37)</f>
        <v>2</v>
      </c>
      <c r="K31" s="3">
        <f>+C31+E31+G31+I31</f>
        <v>42.15</v>
      </c>
      <c r="L31" s="3">
        <f>RANK(K31,K$30:K$37)</f>
        <v>2</v>
      </c>
    </row>
    <row r="32" spans="1:13" x14ac:dyDescent="0.2">
      <c r="A32" s="1">
        <v>3</v>
      </c>
      <c r="B32" s="1"/>
      <c r="C32" s="2">
        <f>12.3-0.7</f>
        <v>11.600000000000001</v>
      </c>
      <c r="D32" s="3">
        <f>RANK(C32,C$30:C$37)</f>
        <v>2</v>
      </c>
      <c r="E32" s="11">
        <f>12-1.2</f>
        <v>10.8</v>
      </c>
      <c r="F32" s="3">
        <f>RANK(E32,E$30:E$37)</f>
        <v>3</v>
      </c>
      <c r="G32" s="10">
        <f>12.1-2.1</f>
        <v>10</v>
      </c>
      <c r="H32" s="3">
        <f>RANK(G32,G$30:G$37)</f>
        <v>5</v>
      </c>
      <c r="I32" s="4">
        <f>12-2.7</f>
        <v>9.3000000000000007</v>
      </c>
      <c r="J32" s="3">
        <f>RANK(I32,I$30:I$37)</f>
        <v>5</v>
      </c>
      <c r="K32" s="3">
        <f>+C32+E32+G32+I32</f>
        <v>41.7</v>
      </c>
      <c r="L32" s="3">
        <f>RANK(K32,K$30:K$37)</f>
        <v>4</v>
      </c>
    </row>
    <row r="33" spans="1:14" x14ac:dyDescent="0.2">
      <c r="A33" s="1">
        <v>11</v>
      </c>
      <c r="B33" s="1" t="s">
        <v>76</v>
      </c>
      <c r="C33" s="2">
        <f>12.3-0.7</f>
        <v>11.600000000000001</v>
      </c>
      <c r="D33" s="3">
        <f>RANK(C33,C$30:C$37)</f>
        <v>2</v>
      </c>
      <c r="E33" s="11">
        <f>12.3-1.2</f>
        <v>11.100000000000001</v>
      </c>
      <c r="F33" s="3">
        <f>RANK(E33,E$30:E$37)</f>
        <v>1</v>
      </c>
      <c r="G33" s="10">
        <f>12.1-2.8</f>
        <v>9.3000000000000007</v>
      </c>
      <c r="H33" s="3">
        <f>RANK(G33,G$30:G$37)</f>
        <v>6</v>
      </c>
      <c r="I33" s="4">
        <f>12-2.3</f>
        <v>9.6999999999999993</v>
      </c>
      <c r="J33" s="3">
        <f>RANK(I33,I$30:I$37)</f>
        <v>1</v>
      </c>
      <c r="K33" s="3">
        <f>+C33+E33+G33+I33</f>
        <v>41.7</v>
      </c>
      <c r="L33" s="3">
        <f>RANK(K33,K$30:K$37)</f>
        <v>4</v>
      </c>
    </row>
    <row r="34" spans="1:14" x14ac:dyDescent="0.2">
      <c r="A34" s="1">
        <v>12</v>
      </c>
      <c r="B34" s="1" t="s">
        <v>75</v>
      </c>
      <c r="C34" s="2">
        <f>12.3-1.1</f>
        <v>11.200000000000001</v>
      </c>
      <c r="D34" s="3">
        <f>RANK(C34,C$30:C$37)</f>
        <v>6</v>
      </c>
      <c r="E34" s="11">
        <f>12-3</f>
        <v>9</v>
      </c>
      <c r="F34" s="3">
        <f>RANK(E34,E$30:E$37)</f>
        <v>7</v>
      </c>
      <c r="G34" s="10">
        <f>12-4.5</f>
        <v>7.5</v>
      </c>
      <c r="H34" s="3">
        <f>RANK(G34,G$30:G$37)</f>
        <v>7</v>
      </c>
      <c r="I34" s="4">
        <f>12-2.95</f>
        <v>9.0500000000000007</v>
      </c>
      <c r="J34" s="3">
        <f>RANK(I34,I$30:I$37)</f>
        <v>6</v>
      </c>
      <c r="K34" s="3">
        <f>+C34+E34+G34+I34</f>
        <v>36.75</v>
      </c>
      <c r="L34" s="3">
        <f>RANK(K34,K$30:K$37)</f>
        <v>7</v>
      </c>
    </row>
    <row r="35" spans="1:14" x14ac:dyDescent="0.2">
      <c r="A35" s="1">
        <v>13</v>
      </c>
      <c r="B35" s="1" t="s">
        <v>74</v>
      </c>
      <c r="C35" s="2">
        <f>12.3-1</f>
        <v>11.3</v>
      </c>
      <c r="D35" s="3">
        <f>RANK(C35,C$30:C$37)</f>
        <v>5</v>
      </c>
      <c r="E35" s="11">
        <f>12-1.3</f>
        <v>10.7</v>
      </c>
      <c r="F35" s="3">
        <f>RANK(E35,E$30:E$37)</f>
        <v>4</v>
      </c>
      <c r="G35" s="10">
        <f>12-1.6</f>
        <v>10.4</v>
      </c>
      <c r="H35" s="3">
        <f>RANK(G35,G$30:G$37)</f>
        <v>3</v>
      </c>
      <c r="I35" s="4">
        <f>12-2.45</f>
        <v>9.5500000000000007</v>
      </c>
      <c r="J35" s="3">
        <f>RANK(I35,I$30:I$37)</f>
        <v>3</v>
      </c>
      <c r="K35" s="3">
        <f>+C35+E35+G35+I35</f>
        <v>41.95</v>
      </c>
      <c r="L35" s="3">
        <f>RANK(K35,K$30:K$37)</f>
        <v>3</v>
      </c>
    </row>
    <row r="36" spans="1:14" x14ac:dyDescent="0.2">
      <c r="A36" s="1">
        <v>14</v>
      </c>
      <c r="B36" s="1" t="s">
        <v>73</v>
      </c>
      <c r="C36" s="2">
        <f>12.3-0.6</f>
        <v>11.700000000000001</v>
      </c>
      <c r="D36" s="3">
        <f>RANK(C36,C$30:C$37)</f>
        <v>1</v>
      </c>
      <c r="E36" s="11">
        <f>12-2.3</f>
        <v>9.6999999999999993</v>
      </c>
      <c r="F36" s="3">
        <f>RANK(E36,E$30:E$37)</f>
        <v>6</v>
      </c>
      <c r="G36" s="10">
        <f>12-1.7</f>
        <v>10.3</v>
      </c>
      <c r="H36" s="3">
        <f>RANK(G36,G$30:G$37)</f>
        <v>4</v>
      </c>
      <c r="I36" s="4">
        <f>11.5-3.6</f>
        <v>7.9</v>
      </c>
      <c r="J36" s="3">
        <f>RANK(I36,I$30:I$37)</f>
        <v>7</v>
      </c>
      <c r="K36" s="3">
        <f>+C36+E36+G36+I36</f>
        <v>39.6</v>
      </c>
      <c r="L36" s="3">
        <f>RANK(K36,K$30:K$37)</f>
        <v>6</v>
      </c>
    </row>
    <row r="37" spans="1:14" x14ac:dyDescent="0.2">
      <c r="A37" s="1">
        <v>15</v>
      </c>
      <c r="B37" s="1" t="s">
        <v>72</v>
      </c>
      <c r="C37" s="2"/>
      <c r="D37" s="3" t="e">
        <f>RANK(C37,C$30:C$37)</f>
        <v>#N/A</v>
      </c>
      <c r="E37" s="11"/>
      <c r="F37" s="3" t="e">
        <f>RANK(E37,E$30:E$37)</f>
        <v>#N/A</v>
      </c>
      <c r="G37" s="10"/>
      <c r="H37" s="3" t="e">
        <f>RANK(G37,G$30:G$37)</f>
        <v>#N/A</v>
      </c>
      <c r="I37" s="4"/>
      <c r="J37" s="3" t="e">
        <f>RANK(I37,I$30:I$37)</f>
        <v>#N/A</v>
      </c>
      <c r="K37" s="3">
        <f>+C37+E37+G37+I37</f>
        <v>0</v>
      </c>
      <c r="L37" s="3">
        <f>RANK(K37,K$30:K$37)</f>
        <v>8</v>
      </c>
    </row>
    <row r="39" spans="1:14" x14ac:dyDescent="0.2">
      <c r="C39" s="24" t="s">
        <v>0</v>
      </c>
      <c r="D39" s="23"/>
      <c r="E39" s="23"/>
      <c r="F39" s="23"/>
      <c r="G39" s="23"/>
      <c r="H39" s="23"/>
      <c r="I39" s="23"/>
      <c r="J39" s="23"/>
      <c r="L39" t="s">
        <v>4</v>
      </c>
      <c r="N39" t="s">
        <v>6</v>
      </c>
    </row>
    <row r="40" spans="1:14" x14ac:dyDescent="0.2">
      <c r="C40" s="5" t="s">
        <v>1</v>
      </c>
      <c r="D40" s="6" t="s">
        <v>2</v>
      </c>
      <c r="E40" s="22" t="s">
        <v>22</v>
      </c>
      <c r="F40" s="6" t="s">
        <v>2</v>
      </c>
      <c r="G40" s="21" t="s">
        <v>21</v>
      </c>
      <c r="H40" s="6" t="s">
        <v>2</v>
      </c>
      <c r="I40" s="20" t="s">
        <v>3</v>
      </c>
      <c r="J40" s="6" t="s">
        <v>2</v>
      </c>
      <c r="K40" s="6" t="s">
        <v>8</v>
      </c>
      <c r="L40" s="6" t="s">
        <v>2</v>
      </c>
      <c r="M40" s="25"/>
    </row>
    <row r="41" spans="1:14" x14ac:dyDescent="0.2">
      <c r="B41" s="16" t="s">
        <v>71</v>
      </c>
    </row>
    <row r="42" spans="1:14" x14ac:dyDescent="0.2">
      <c r="A42" s="1">
        <v>4</v>
      </c>
      <c r="B42" s="1" t="s">
        <v>70</v>
      </c>
      <c r="C42" s="2">
        <f>12.3-0.5</f>
        <v>11.8</v>
      </c>
      <c r="D42" s="3">
        <f>RANK(C42,C$42:C$53)</f>
        <v>1</v>
      </c>
      <c r="E42" s="11">
        <f>12-1.8</f>
        <v>10.199999999999999</v>
      </c>
      <c r="F42" s="3">
        <f>RANK(E42,E$42:E$53)</f>
        <v>5</v>
      </c>
      <c r="G42" s="10">
        <f>12.6-2.1</f>
        <v>10.5</v>
      </c>
      <c r="H42" s="3">
        <f>RANK(G42,G$42:G$53)</f>
        <v>3</v>
      </c>
      <c r="I42" s="4">
        <f>12.6-1.85</f>
        <v>10.75</v>
      </c>
      <c r="J42" s="3">
        <f>RANK(I42,I$42:I$53)</f>
        <v>1</v>
      </c>
      <c r="K42" s="3">
        <f>+C42+E42+G42+I42</f>
        <v>43.25</v>
      </c>
      <c r="L42" s="3">
        <f>RANK(K42,K$42:K$53)</f>
        <v>3</v>
      </c>
      <c r="N42" s="3">
        <f>RANK(K42,K$42:K$47)</f>
        <v>1</v>
      </c>
    </row>
    <row r="43" spans="1:14" x14ac:dyDescent="0.2">
      <c r="A43" s="1">
        <v>5</v>
      </c>
      <c r="B43" s="1" t="s">
        <v>69</v>
      </c>
      <c r="C43" s="2">
        <f>12.3-0.7</f>
        <v>11.600000000000001</v>
      </c>
      <c r="D43" s="3">
        <f>RANK(C43,C$42:C$53)</f>
        <v>3</v>
      </c>
      <c r="E43" s="11">
        <f>12-1.3</f>
        <v>10.7</v>
      </c>
      <c r="F43" s="3">
        <f>RANK(E43,E$42:E$53)</f>
        <v>4</v>
      </c>
      <c r="G43" s="10">
        <f>12.6-2.2</f>
        <v>10.399999999999999</v>
      </c>
      <c r="H43" s="3">
        <f>RANK(G43,G$42:G$53)</f>
        <v>4</v>
      </c>
      <c r="I43" s="4">
        <f>12.6-2.45</f>
        <v>10.149999999999999</v>
      </c>
      <c r="J43" s="3">
        <f>RANK(I43,I$42:I$53)</f>
        <v>5</v>
      </c>
      <c r="K43" s="3">
        <f>+C43+E43+G43+I43</f>
        <v>42.85</v>
      </c>
      <c r="L43" s="3">
        <f>RANK(K43,K$42:K$53)</f>
        <v>4</v>
      </c>
      <c r="N43" s="3">
        <f>RANK(K43,K$42:K$47)</f>
        <v>2</v>
      </c>
    </row>
    <row r="44" spans="1:14" x14ac:dyDescent="0.2">
      <c r="A44" s="1">
        <v>6</v>
      </c>
      <c r="B44" s="1" t="s">
        <v>68</v>
      </c>
      <c r="C44" s="2">
        <f>12.3-1.1</f>
        <v>11.200000000000001</v>
      </c>
      <c r="D44" s="3">
        <f>RANK(C44,C$42:C$53)</f>
        <v>9</v>
      </c>
      <c r="E44" s="11">
        <f>11.4-2.3</f>
        <v>9.1000000000000014</v>
      </c>
      <c r="F44" s="3">
        <f>RANK(E44,E$42:E$53)</f>
        <v>9</v>
      </c>
      <c r="G44" s="10">
        <f>12.6-4</f>
        <v>8.6</v>
      </c>
      <c r="H44" s="3">
        <f>RANK(G44,G$42:G$53)</f>
        <v>11</v>
      </c>
      <c r="I44" s="4">
        <f>12.6-2.85</f>
        <v>9.75</v>
      </c>
      <c r="J44" s="3">
        <f>RANK(I44,I$42:I$53)</f>
        <v>8</v>
      </c>
      <c r="K44" s="3">
        <f>+C44+E44+G44+I44</f>
        <v>38.650000000000006</v>
      </c>
      <c r="L44" s="3">
        <f>RANK(K44,K$42:K$53)</f>
        <v>10</v>
      </c>
      <c r="N44" s="3">
        <f>RANK(K44,K$42:K$47)</f>
        <v>5</v>
      </c>
    </row>
    <row r="45" spans="1:14" x14ac:dyDescent="0.2">
      <c r="A45" s="1">
        <v>7</v>
      </c>
      <c r="B45" s="1" t="s">
        <v>67</v>
      </c>
      <c r="C45" s="2">
        <f>12.3-0.9</f>
        <v>11.4</v>
      </c>
      <c r="D45" s="3">
        <f>RANK(C45,C$42:C$53)</f>
        <v>8</v>
      </c>
      <c r="E45" s="11">
        <f>12-2.6</f>
        <v>9.4</v>
      </c>
      <c r="F45" s="3">
        <f>RANK(E45,E$42:E$53)</f>
        <v>8</v>
      </c>
      <c r="G45" s="10">
        <f>12.6-2.6</f>
        <v>10</v>
      </c>
      <c r="H45" s="3">
        <f>RANK(G45,G$42:G$53)</f>
        <v>6</v>
      </c>
      <c r="I45" s="4">
        <f>12.6-2.85</f>
        <v>9.75</v>
      </c>
      <c r="J45" s="3">
        <f>RANK(I45,I$42:I$53)</f>
        <v>8</v>
      </c>
      <c r="K45" s="3">
        <f>+C45+E45+G45+I45</f>
        <v>40.549999999999997</v>
      </c>
      <c r="L45" s="3">
        <f>RANK(K45,K$42:K$53)</f>
        <v>7</v>
      </c>
      <c r="N45" s="3">
        <f>RANK(K45,K$42:K$47)</f>
        <v>3</v>
      </c>
    </row>
    <row r="46" spans="1:14" x14ac:dyDescent="0.2">
      <c r="A46" s="1">
        <v>16</v>
      </c>
      <c r="B46" s="1" t="s">
        <v>66</v>
      </c>
      <c r="C46" s="2">
        <f>12.3-1.1</f>
        <v>11.200000000000001</v>
      </c>
      <c r="D46" s="3">
        <f>RANK(C46,C$42:C$53)</f>
        <v>9</v>
      </c>
      <c r="E46" s="11">
        <f>11.4-1.6</f>
        <v>9.8000000000000007</v>
      </c>
      <c r="F46" s="3">
        <f>RANK(E46,E$42:E$53)</f>
        <v>6</v>
      </c>
      <c r="G46" s="10">
        <f>12.6-2.7</f>
        <v>9.8999999999999986</v>
      </c>
      <c r="H46" s="3">
        <f>RANK(G46,G$42:G$53)</f>
        <v>7</v>
      </c>
      <c r="I46" s="4">
        <f>12.6-3.45</f>
        <v>9.1499999999999986</v>
      </c>
      <c r="J46" s="3">
        <f>RANK(I46,I$42:I$53)</f>
        <v>10</v>
      </c>
      <c r="K46" s="3">
        <f>+C46+E46+G46+I46</f>
        <v>40.049999999999997</v>
      </c>
      <c r="L46" s="3">
        <f>RANK(K46,K$42:K$53)</f>
        <v>8</v>
      </c>
      <c r="N46" s="3">
        <f>RANK(K46,K$42:K$47)</f>
        <v>4</v>
      </c>
    </row>
    <row r="47" spans="1:14" x14ac:dyDescent="0.2">
      <c r="A47" s="1">
        <v>17</v>
      </c>
      <c r="B47" s="1" t="s">
        <v>65</v>
      </c>
      <c r="C47" s="2">
        <f>12.3-1.2</f>
        <v>11.100000000000001</v>
      </c>
      <c r="D47" s="3">
        <f>RANK(C47,C$42:C$53)</f>
        <v>11</v>
      </c>
      <c r="E47" s="11">
        <f>11.4-3.3</f>
        <v>8.1000000000000014</v>
      </c>
      <c r="F47" s="3">
        <f>RANK(E47,E$42:E$53)</f>
        <v>11</v>
      </c>
      <c r="G47" s="10">
        <f>12.6-3.4</f>
        <v>9.1999999999999993</v>
      </c>
      <c r="H47" s="3">
        <f>RANK(G47,G$42:G$53)</f>
        <v>9</v>
      </c>
      <c r="I47" s="4">
        <f>12.6-3.5</f>
        <v>9.1</v>
      </c>
      <c r="J47" s="3">
        <f>RANK(I47,I$42:I$53)</f>
        <v>11</v>
      </c>
      <c r="K47" s="3">
        <f>+C47+E47+G47+I47</f>
        <v>37.5</v>
      </c>
      <c r="L47" s="3">
        <f>RANK(K47,K$42:K$53)</f>
        <v>11</v>
      </c>
      <c r="N47" s="3">
        <f>RANK(K47,K$42:K$47)</f>
        <v>6</v>
      </c>
    </row>
    <row r="48" spans="1:14" x14ac:dyDescent="0.2">
      <c r="B48" s="16" t="s">
        <v>64</v>
      </c>
    </row>
    <row r="49" spans="1:14" x14ac:dyDescent="0.2">
      <c r="A49" s="1">
        <v>8</v>
      </c>
      <c r="B49" s="1" t="s">
        <v>63</v>
      </c>
      <c r="C49" s="2">
        <f>12.3-0.8</f>
        <v>11.5</v>
      </c>
      <c r="D49" s="3">
        <f>RANK(C49,C$42:C$53)</f>
        <v>5</v>
      </c>
      <c r="E49" s="11">
        <f>11.4-1.9</f>
        <v>9.5</v>
      </c>
      <c r="F49" s="3">
        <f>RANK(E49,E$42:E$53)</f>
        <v>7</v>
      </c>
      <c r="G49" s="10">
        <f>12.6-2.4</f>
        <v>10.199999999999999</v>
      </c>
      <c r="H49" s="3">
        <f>RANK(G49,G$42:G$53)</f>
        <v>5</v>
      </c>
      <c r="I49" s="4">
        <f>12.6-2.75</f>
        <v>9.85</v>
      </c>
      <c r="J49" s="3">
        <f>RANK(I49,I$42:I$53)</f>
        <v>7</v>
      </c>
      <c r="K49" s="3">
        <f>+C49+E49+G49+I49</f>
        <v>41.05</v>
      </c>
      <c r="L49" s="3">
        <f>RANK(K49,K$42:K$53)</f>
        <v>6</v>
      </c>
      <c r="N49" s="3">
        <f>RANK(K49,K$49:K$53)</f>
        <v>4</v>
      </c>
    </row>
    <row r="50" spans="1:14" x14ac:dyDescent="0.2">
      <c r="A50" s="1">
        <v>9</v>
      </c>
      <c r="B50" s="1" t="s">
        <v>62</v>
      </c>
      <c r="C50" s="2">
        <f>12.3-0.8</f>
        <v>11.5</v>
      </c>
      <c r="D50" s="3">
        <f>RANK(C50,C$42:C$53)</f>
        <v>5</v>
      </c>
      <c r="E50" s="11">
        <f>11.4-2.3</f>
        <v>9.1000000000000014</v>
      </c>
      <c r="F50" s="3">
        <f>RANK(E50,E$42:E$53)</f>
        <v>9</v>
      </c>
      <c r="G50" s="10">
        <f>12.1-3</f>
        <v>9.1</v>
      </c>
      <c r="H50" s="3">
        <f>RANK(G50,G$42:G$53)</f>
        <v>10</v>
      </c>
      <c r="I50" s="4">
        <f>12.6-2.3</f>
        <v>10.3</v>
      </c>
      <c r="J50" s="3">
        <f>RANK(I50,I$42:I$53)</f>
        <v>4</v>
      </c>
      <c r="K50" s="3">
        <f>+C50+E50+G50+I50</f>
        <v>40</v>
      </c>
      <c r="L50" s="3">
        <f>RANK(K50,K$42:K$53)</f>
        <v>9</v>
      </c>
      <c r="N50" s="3">
        <f>RANK(K50,K$49:K$53)</f>
        <v>5</v>
      </c>
    </row>
    <row r="51" spans="1:14" x14ac:dyDescent="0.2">
      <c r="A51" s="1">
        <v>18</v>
      </c>
      <c r="B51" s="1" t="s">
        <v>61</v>
      </c>
      <c r="C51" s="2">
        <f>12.3-0.6</f>
        <v>11.700000000000001</v>
      </c>
      <c r="D51" s="3">
        <f>RANK(C51,C$42:C$53)</f>
        <v>2</v>
      </c>
      <c r="E51" s="11">
        <f>12-1.1</f>
        <v>10.9</v>
      </c>
      <c r="F51" s="3">
        <f>RANK(E51,E$42:E$53)</f>
        <v>2</v>
      </c>
      <c r="G51" s="10">
        <f>12.7-1.7</f>
        <v>11</v>
      </c>
      <c r="H51" s="3">
        <f>RANK(G51,G$42:G$53)</f>
        <v>1</v>
      </c>
      <c r="I51" s="4">
        <f>12.6-1.95</f>
        <v>10.65</v>
      </c>
      <c r="J51" s="3">
        <f>RANK(I51,I$42:I$53)</f>
        <v>2</v>
      </c>
      <c r="K51" s="3">
        <f>+C51+E51+G51+I51</f>
        <v>44.25</v>
      </c>
      <c r="L51" s="3">
        <f>RANK(K51,K$42:K$53)</f>
        <v>1</v>
      </c>
      <c r="N51" s="3">
        <f>RANK(K51,K$49:K$53)</f>
        <v>1</v>
      </c>
    </row>
    <row r="52" spans="1:14" x14ac:dyDescent="0.2">
      <c r="A52" s="1">
        <v>19</v>
      </c>
      <c r="B52" s="1" t="s">
        <v>60</v>
      </c>
      <c r="C52" s="2">
        <f>12.3-0.8</f>
        <v>11.5</v>
      </c>
      <c r="D52" s="3">
        <f>RANK(C52,C$42:C$53)</f>
        <v>5</v>
      </c>
      <c r="E52" s="11">
        <f>12-1</f>
        <v>11</v>
      </c>
      <c r="F52" s="3">
        <f>RANK(E52,E$42:E$53)</f>
        <v>1</v>
      </c>
      <c r="G52" s="10">
        <f>12.7-2</f>
        <v>10.7</v>
      </c>
      <c r="H52" s="3">
        <f>RANK(G52,G$42:G$53)</f>
        <v>2</v>
      </c>
      <c r="I52" s="4">
        <f>12.6-1.95</f>
        <v>10.65</v>
      </c>
      <c r="J52" s="3">
        <f>RANK(I52,I$42:I$53)</f>
        <v>2</v>
      </c>
      <c r="K52" s="3">
        <f>+C52+E52+G52+I52</f>
        <v>43.85</v>
      </c>
      <c r="L52" s="3">
        <f>RANK(K52,K$42:K$53)</f>
        <v>2</v>
      </c>
      <c r="N52" s="3">
        <f>RANK(K52,K$49:K$53)</f>
        <v>2</v>
      </c>
    </row>
    <row r="53" spans="1:14" x14ac:dyDescent="0.2">
      <c r="A53" s="1">
        <v>20</v>
      </c>
      <c r="B53" s="1" t="s">
        <v>59</v>
      </c>
      <c r="C53" s="2">
        <f>12.3-0.7</f>
        <v>11.600000000000001</v>
      </c>
      <c r="D53" s="3">
        <f>RANK(C53,C$42:C$53)</f>
        <v>3</v>
      </c>
      <c r="E53" s="11">
        <f>12-1.2</f>
        <v>10.8</v>
      </c>
      <c r="F53" s="3">
        <f>RANK(E53,E$42:E$53)</f>
        <v>3</v>
      </c>
      <c r="G53" s="10">
        <f>12.6-3.1</f>
        <v>9.5</v>
      </c>
      <c r="H53" s="3">
        <f>RANK(G53,G$42:G$53)</f>
        <v>8</v>
      </c>
      <c r="I53" s="4">
        <f>12.6-2.45</f>
        <v>10.149999999999999</v>
      </c>
      <c r="J53" s="3">
        <f>RANK(I53,I$42:I$53)</f>
        <v>5</v>
      </c>
      <c r="K53" s="3">
        <f>+C53+E53+G53+I53</f>
        <v>42.05</v>
      </c>
      <c r="L53" s="3">
        <f>RANK(K53,K$42:K$53)</f>
        <v>5</v>
      </c>
      <c r="N53" s="3">
        <f>RANK(K53,K$49:K$53)</f>
        <v>3</v>
      </c>
    </row>
  </sheetData>
  <mergeCells count="5">
    <mergeCell ref="C3:J3"/>
    <mergeCell ref="B1:J1"/>
    <mergeCell ref="C27:J27"/>
    <mergeCell ref="C14:J14"/>
    <mergeCell ref="C39:J39"/>
  </mergeCells>
  <conditionalFormatting sqref="D1:D2 F1:F2 H1:H2 J1:J2 M4 M12:M13 L15:M15 D15:D26 F15:F26 H15:H26 J15:J26 N16:N25 L16:L27 L28:M28 D28:D38 F28:F38 H28:H38 J28:J38 N38 L40:M40 N40:N1048576 M49:M50 M53 D55:D1048576 F55:F1048576 H55:H1048576 J55:J1048576 L55:L1048576 N1:N13 L1:L14 D4:D13 F4:F13 H4:H13 J4:J13">
    <cfRule type="cellIs" dxfId="59" priority="23" operator="equal">
      <formula>3</formula>
    </cfRule>
    <cfRule type="cellIs" dxfId="58" priority="24" operator="equal">
      <formula>2</formula>
    </cfRule>
    <cfRule type="cellIs" dxfId="57" priority="25" operator="equal">
      <formula>1</formula>
    </cfRule>
  </conditionalFormatting>
  <conditionalFormatting sqref="D1:D1048576 F1:F1048576 H1:H1048576 J1:J1048576 L1:L1048576 N1:N1048576">
    <cfRule type="cellIs" dxfId="56" priority="1" operator="equal">
      <formula>6</formula>
    </cfRule>
    <cfRule type="cellIs" dxfId="55" priority="2" operator="equal">
      <formula>5</formula>
    </cfRule>
  </conditionalFormatting>
  <conditionalFormatting sqref="D40:D53">
    <cfRule type="cellIs" dxfId="54" priority="3" operator="equal">
      <formula>3</formula>
    </cfRule>
    <cfRule type="cellIs" dxfId="53" priority="4" operator="equal">
      <formula>2</formula>
    </cfRule>
    <cfRule type="cellIs" dxfId="52" priority="5" operator="equal">
      <formula>1</formula>
    </cfRule>
  </conditionalFormatting>
  <conditionalFormatting sqref="D48">
    <cfRule type="cellIs" dxfId="51" priority="6" operator="equal">
      <formula>4</formula>
    </cfRule>
  </conditionalFormatting>
  <conditionalFormatting sqref="F40:F53">
    <cfRule type="cellIs" dxfId="50" priority="7" operator="equal">
      <formula>3</formula>
    </cfRule>
    <cfRule type="cellIs" dxfId="49" priority="8" operator="equal">
      <formula>2</formula>
    </cfRule>
    <cfRule type="cellIs" dxfId="48" priority="9" operator="equal">
      <formula>1</formula>
    </cfRule>
  </conditionalFormatting>
  <conditionalFormatting sqref="F48">
    <cfRule type="cellIs" dxfId="47" priority="10" operator="equal">
      <formula>4</formula>
    </cfRule>
  </conditionalFormatting>
  <conditionalFormatting sqref="H40:H53">
    <cfRule type="cellIs" dxfId="46" priority="11" operator="equal">
      <formula>3</formula>
    </cfRule>
    <cfRule type="cellIs" dxfId="45" priority="12" operator="equal">
      <formula>2</formula>
    </cfRule>
    <cfRule type="cellIs" dxfId="44" priority="13" operator="equal">
      <formula>1</formula>
    </cfRule>
  </conditionalFormatting>
  <conditionalFormatting sqref="H48">
    <cfRule type="cellIs" dxfId="43" priority="14" operator="equal">
      <formula>4</formula>
    </cfRule>
  </conditionalFormatting>
  <conditionalFormatting sqref="J40:J53">
    <cfRule type="cellIs" dxfId="42" priority="15" operator="equal">
      <formula>3</formula>
    </cfRule>
    <cfRule type="cellIs" dxfId="41" priority="16" operator="equal">
      <formula>2</formula>
    </cfRule>
    <cfRule type="cellIs" dxfId="40" priority="17" operator="equal">
      <formula>1</formula>
    </cfRule>
  </conditionalFormatting>
  <conditionalFormatting sqref="J48">
    <cfRule type="cellIs" dxfId="39" priority="18" operator="equal">
      <formula>4</formula>
    </cfRule>
  </conditionalFormatting>
  <conditionalFormatting sqref="L29:L53">
    <cfRule type="cellIs" dxfId="38" priority="19" operator="equal">
      <formula>3</formula>
    </cfRule>
    <cfRule type="cellIs" dxfId="37" priority="20" operator="equal">
      <formula>2</formula>
    </cfRule>
    <cfRule type="cellIs" dxfId="36" priority="21" operator="equal">
      <formula>1</formula>
    </cfRule>
  </conditionalFormatting>
  <conditionalFormatting sqref="M49:M50 M53">
    <cfRule type="cellIs" dxfId="35" priority="26" stopIfTrue="1" operator="equal">
      <formula>3</formula>
    </cfRule>
    <cfRule type="cellIs" dxfId="34" priority="27" operator="equal">
      <formula>2</formula>
    </cfRule>
    <cfRule type="cellIs" dxfId="33" priority="28" stopIfTrue="1" operator="equal">
      <formula>1</formula>
    </cfRule>
  </conditionalFormatting>
  <conditionalFormatting sqref="N1:N2 L1:L5 L13:L16 L26:L29 N38 L38:L41 N40:N41 L48 N48:N1048576 L55:L1048576">
    <cfRule type="cellIs" dxfId="32" priority="22" operator="equal">
      <formula>4</formula>
    </cfRule>
  </conditionalFormatting>
  <pageMargins left="0.25" right="0.25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4647A-207D-BC4E-89F4-4BFCBDBAA81E}">
  <sheetPr>
    <pageSetUpPr fitToPage="1"/>
  </sheetPr>
  <dimension ref="A1:N61"/>
  <sheetViews>
    <sheetView tabSelected="1" zoomScale="105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47" sqref="R47"/>
    </sheetView>
  </sheetViews>
  <sheetFormatPr baseColWidth="10" defaultColWidth="8.83203125" defaultRowHeight="15" x14ac:dyDescent="0.2"/>
  <cols>
    <col min="1" max="1" width="4.6640625" customWidth="1"/>
    <col min="2" max="2" width="19.5" bestFit="1" customWidth="1"/>
    <col min="3" max="3" width="5.6640625" bestFit="1" customWidth="1"/>
    <col min="4" max="4" width="5.5" bestFit="1" customWidth="1"/>
    <col min="5" max="5" width="5.5" customWidth="1"/>
    <col min="6" max="6" width="7.33203125" customWidth="1"/>
    <col min="7" max="7" width="6.33203125" bestFit="1" customWidth="1"/>
    <col min="8" max="8" width="5.5" bestFit="1" customWidth="1"/>
    <col min="9" max="9" width="7.33203125" customWidth="1"/>
    <col min="10" max="10" width="5.5" bestFit="1" customWidth="1"/>
    <col min="11" max="11" width="7.33203125" customWidth="1"/>
    <col min="12" max="12" width="5.5" customWidth="1"/>
    <col min="13" max="13" width="3.33203125" customWidth="1"/>
    <col min="14" max="14" width="5.33203125" customWidth="1"/>
  </cols>
  <sheetData>
    <row r="1" spans="1:13" x14ac:dyDescent="0.2">
      <c r="B1" s="8" t="s">
        <v>58</v>
      </c>
      <c r="C1" s="8"/>
      <c r="D1" s="8"/>
      <c r="E1" s="8"/>
      <c r="F1" s="8"/>
      <c r="G1" s="8"/>
      <c r="H1" s="8"/>
      <c r="I1" s="8"/>
      <c r="J1" s="8"/>
    </row>
    <row r="2" spans="1:13" x14ac:dyDescent="0.2">
      <c r="E2" s="7" t="s">
        <v>57</v>
      </c>
    </row>
    <row r="3" spans="1:13" x14ac:dyDescent="0.2">
      <c r="C3" s="5" t="s">
        <v>1</v>
      </c>
      <c r="D3" s="6" t="s">
        <v>2</v>
      </c>
      <c r="E3" s="22" t="s">
        <v>22</v>
      </c>
      <c r="F3" s="6" t="s">
        <v>2</v>
      </c>
      <c r="G3" s="21" t="s">
        <v>21</v>
      </c>
      <c r="H3" s="6" t="s">
        <v>2</v>
      </c>
      <c r="I3" s="20" t="s">
        <v>3</v>
      </c>
      <c r="J3" s="6" t="s">
        <v>2</v>
      </c>
      <c r="K3" s="12" t="s">
        <v>8</v>
      </c>
      <c r="L3" s="6" t="s">
        <v>2</v>
      </c>
      <c r="M3" s="25"/>
    </row>
    <row r="4" spans="1:13" x14ac:dyDescent="0.2">
      <c r="B4" s="16" t="s">
        <v>56</v>
      </c>
      <c r="C4" s="5"/>
      <c r="D4" s="19"/>
      <c r="E4" s="15"/>
      <c r="F4" s="19"/>
      <c r="G4" s="14"/>
      <c r="H4" s="19"/>
      <c r="I4" s="13"/>
      <c r="J4" s="19"/>
      <c r="K4" s="12"/>
      <c r="L4" s="19"/>
      <c r="M4" s="25"/>
    </row>
    <row r="5" spans="1:13" x14ac:dyDescent="0.2">
      <c r="A5" s="1">
        <v>69</v>
      </c>
      <c r="B5" s="1" t="s">
        <v>55</v>
      </c>
      <c r="C5" s="2">
        <f>10-1</f>
        <v>9</v>
      </c>
      <c r="D5" s="3">
        <f>RANK(C5,C$5:C$12)</f>
        <v>6</v>
      </c>
      <c r="E5" s="11">
        <f>10-2.5</f>
        <v>7.5</v>
      </c>
      <c r="F5" s="3">
        <f>RANK(E5,E$5:E$12)</f>
        <v>7</v>
      </c>
      <c r="G5" s="10">
        <f>10-2.3</f>
        <v>7.7</v>
      </c>
      <c r="H5" s="3">
        <f>RANK(G5,G$5:G$12)</f>
        <v>3</v>
      </c>
      <c r="I5" s="4">
        <f>10.5-1.6</f>
        <v>8.9</v>
      </c>
      <c r="J5" s="3">
        <f>RANK(I5,I$5:I$12)</f>
        <v>5</v>
      </c>
      <c r="K5" s="3">
        <f>+C5+E5+G5+I5</f>
        <v>33.1</v>
      </c>
      <c r="L5" s="3">
        <f>RANK(K5,K$5:K$12)</f>
        <v>5</v>
      </c>
    </row>
    <row r="6" spans="1:13" x14ac:dyDescent="0.2">
      <c r="A6" s="1">
        <v>70</v>
      </c>
      <c r="B6" s="1" t="s">
        <v>54</v>
      </c>
      <c r="C6" s="2">
        <f>10-1.2</f>
        <v>8.8000000000000007</v>
      </c>
      <c r="D6" s="3">
        <f>RANK(C6,C$5:C$12)</f>
        <v>8</v>
      </c>
      <c r="E6" s="11">
        <f>10-1.3</f>
        <v>8.6999999999999993</v>
      </c>
      <c r="F6" s="3">
        <f>RANK(E6,E$5:E$12)</f>
        <v>3</v>
      </c>
      <c r="G6" s="10">
        <f>10-2.7</f>
        <v>7.3</v>
      </c>
      <c r="H6" s="3">
        <f>RANK(G6,G$5:G$12)</f>
        <v>5</v>
      </c>
      <c r="I6" s="4">
        <f>10.5-1.5</f>
        <v>9</v>
      </c>
      <c r="J6" s="3">
        <f>RANK(I6,I$5:I$12)</f>
        <v>3</v>
      </c>
      <c r="K6" s="3">
        <f>+C6+E6+G6+I6</f>
        <v>33.799999999999997</v>
      </c>
      <c r="L6" s="3">
        <f>RANK(K6,K$5:K$12)</f>
        <v>4</v>
      </c>
    </row>
    <row r="7" spans="1:13" x14ac:dyDescent="0.2">
      <c r="A7" s="1">
        <v>71</v>
      </c>
      <c r="B7" s="1" t="s">
        <v>53</v>
      </c>
      <c r="C7" s="2">
        <f>10-1.1</f>
        <v>8.9</v>
      </c>
      <c r="D7" s="3">
        <f>RANK(C7,C$5:C$12)</f>
        <v>7</v>
      </c>
      <c r="E7" s="11">
        <f>10-2.6</f>
        <v>7.4</v>
      </c>
      <c r="F7" s="3">
        <f>RANK(E7,E$5:E$12)</f>
        <v>8</v>
      </c>
      <c r="G7" s="10">
        <f>10-3.1</f>
        <v>6.9</v>
      </c>
      <c r="H7" s="3">
        <f>RANK(G7,G$5:G$12)</f>
        <v>6</v>
      </c>
      <c r="I7" s="4">
        <f>10.5-2.7</f>
        <v>7.8</v>
      </c>
      <c r="J7" s="3">
        <f>RANK(I7,I$5:I$12)</f>
        <v>7</v>
      </c>
      <c r="K7" s="3">
        <f>+C7+E7+G7+I7</f>
        <v>31.000000000000004</v>
      </c>
      <c r="L7" s="3">
        <f>RANK(K7,K$5:K$12)</f>
        <v>8</v>
      </c>
    </row>
    <row r="8" spans="1:13" x14ac:dyDescent="0.2">
      <c r="A8" s="1">
        <v>72</v>
      </c>
      <c r="B8" s="1" t="s">
        <v>52</v>
      </c>
      <c r="C8" s="2">
        <f>10-0.8</f>
        <v>9.1999999999999993</v>
      </c>
      <c r="D8" s="3">
        <f>RANK(C8,C$5:C$12)</f>
        <v>5</v>
      </c>
      <c r="E8" s="11">
        <f>10-1.5</f>
        <v>8.5</v>
      </c>
      <c r="F8" s="3">
        <f>RANK(E8,E$5:E$12)</f>
        <v>4</v>
      </c>
      <c r="G8" s="10">
        <f>10-3.3</f>
        <v>6.7</v>
      </c>
      <c r="H8" s="3">
        <f>RANK(G8,G$5:G$12)</f>
        <v>7</v>
      </c>
      <c r="I8" s="4">
        <f>10.5-1.8</f>
        <v>8.6999999999999993</v>
      </c>
      <c r="J8" s="3">
        <f>RANK(I8,I$5:I$12)</f>
        <v>6</v>
      </c>
      <c r="K8" s="3">
        <f>+C8+E8+G8+I8</f>
        <v>33.099999999999994</v>
      </c>
      <c r="L8" s="3">
        <v>5</v>
      </c>
    </row>
    <row r="9" spans="1:13" x14ac:dyDescent="0.2">
      <c r="A9" s="1">
        <v>73</v>
      </c>
      <c r="B9" s="1" t="s">
        <v>51</v>
      </c>
      <c r="C9" s="2">
        <f>10-0.6</f>
        <v>9.4</v>
      </c>
      <c r="D9" s="3">
        <f>RANK(C9,C$5:C$12)</f>
        <v>2</v>
      </c>
      <c r="E9" s="11">
        <f>10-1.2</f>
        <v>8.8000000000000007</v>
      </c>
      <c r="F9" s="3">
        <f>RANK(E9,E$5:E$12)</f>
        <v>2</v>
      </c>
      <c r="G9" s="10">
        <f>10-1.7</f>
        <v>8.3000000000000007</v>
      </c>
      <c r="H9" s="3">
        <f>RANK(G9,G$5:G$12)</f>
        <v>1</v>
      </c>
      <c r="I9" s="4">
        <f>10.5-0.7</f>
        <v>9.8000000000000007</v>
      </c>
      <c r="J9" s="3">
        <f>RANK(I9,I$5:I$12)</f>
        <v>1</v>
      </c>
      <c r="K9" s="3">
        <f>+C9+E9+G9+I9</f>
        <v>36.300000000000004</v>
      </c>
      <c r="L9" s="3">
        <f>RANK(K9,K$5:K$12)</f>
        <v>1</v>
      </c>
    </row>
    <row r="10" spans="1:13" x14ac:dyDescent="0.2">
      <c r="A10" s="1">
        <v>74</v>
      </c>
      <c r="B10" s="1" t="s">
        <v>50</v>
      </c>
      <c r="C10" s="2">
        <f>10-0.7</f>
        <v>9.3000000000000007</v>
      </c>
      <c r="D10" s="3">
        <f>RANK(C10,C$5:C$12)</f>
        <v>3</v>
      </c>
      <c r="E10" s="11">
        <f>10-1.7</f>
        <v>8.3000000000000007</v>
      </c>
      <c r="F10" s="3">
        <f>RANK(E10,E$5:E$12)</f>
        <v>6</v>
      </c>
      <c r="G10" s="10">
        <f>10-2.4</f>
        <v>7.6</v>
      </c>
      <c r="H10" s="3">
        <f>RANK(G10,G$5:G$12)</f>
        <v>4</v>
      </c>
      <c r="I10" s="4">
        <f>10.5-1.2</f>
        <v>9.3000000000000007</v>
      </c>
      <c r="J10" s="3">
        <f>RANK(I10,I$5:I$12)</f>
        <v>2</v>
      </c>
      <c r="K10" s="3">
        <f>+C10+E10+G10+I10</f>
        <v>34.5</v>
      </c>
      <c r="L10" s="3">
        <f>RANK(K10,K$5:K$12)</f>
        <v>3</v>
      </c>
    </row>
    <row r="11" spans="1:13" x14ac:dyDescent="0.2">
      <c r="A11" s="1">
        <v>75</v>
      </c>
      <c r="B11" s="1" t="s">
        <v>49</v>
      </c>
      <c r="C11" s="2">
        <f>10-0.5</f>
        <v>9.5</v>
      </c>
      <c r="D11" s="3">
        <f>RANK(C11,C$5:C$12)</f>
        <v>1</v>
      </c>
      <c r="E11" s="11">
        <f>10-0.7</f>
        <v>9.3000000000000007</v>
      </c>
      <c r="F11" s="3">
        <f>RANK(E11,E$5:E$12)</f>
        <v>1</v>
      </c>
      <c r="G11" s="10">
        <f>10-2.2</f>
        <v>7.8</v>
      </c>
      <c r="H11" s="3">
        <f>RANK(G11,G$5:G$12)</f>
        <v>2</v>
      </c>
      <c r="I11" s="4">
        <f>10.5-1.5</f>
        <v>9</v>
      </c>
      <c r="J11" s="3">
        <f>RANK(I11,I$5:I$12)</f>
        <v>3</v>
      </c>
      <c r="K11" s="3">
        <f>+C11+E11+G11+I11</f>
        <v>35.6</v>
      </c>
      <c r="L11" s="3">
        <f>RANK(K11,K$5:K$12)</f>
        <v>2</v>
      </c>
    </row>
    <row r="12" spans="1:13" x14ac:dyDescent="0.2">
      <c r="A12" s="1">
        <v>76</v>
      </c>
      <c r="B12" s="1" t="s">
        <v>48</v>
      </c>
      <c r="C12" s="2">
        <f>10-0.7</f>
        <v>9.3000000000000007</v>
      </c>
      <c r="D12" s="3">
        <f>RANK(C12,C$5:C$12)</f>
        <v>3</v>
      </c>
      <c r="E12" s="11">
        <f>10-1.6</f>
        <v>8.4</v>
      </c>
      <c r="F12" s="3">
        <f>RANK(E12,E$5:E$12)</f>
        <v>5</v>
      </c>
      <c r="G12" s="10">
        <f>10-3.7</f>
        <v>6.3</v>
      </c>
      <c r="H12" s="3">
        <f>RANK(G12,G$5:G$12)</f>
        <v>8</v>
      </c>
      <c r="I12" s="4">
        <f>10.5-3.3</f>
        <v>7.2</v>
      </c>
      <c r="J12" s="3">
        <f>RANK(I12,I$5:I$12)</f>
        <v>8</v>
      </c>
      <c r="K12" s="3">
        <f>+C12+E12+G12+I12</f>
        <v>31.200000000000003</v>
      </c>
      <c r="L12" s="3">
        <f>RANK(K12,K$5:K$12)</f>
        <v>7</v>
      </c>
    </row>
    <row r="14" spans="1:13" x14ac:dyDescent="0.2">
      <c r="C14" s="5" t="s">
        <v>1</v>
      </c>
      <c r="D14" s="6" t="s">
        <v>2</v>
      </c>
      <c r="E14" s="22" t="s">
        <v>22</v>
      </c>
      <c r="F14" s="6" t="s">
        <v>2</v>
      </c>
      <c r="G14" s="21" t="s">
        <v>21</v>
      </c>
      <c r="H14" s="6" t="s">
        <v>2</v>
      </c>
      <c r="I14" s="20" t="s">
        <v>3</v>
      </c>
      <c r="J14" s="6" t="s">
        <v>2</v>
      </c>
      <c r="K14" s="12" t="s">
        <v>8</v>
      </c>
      <c r="L14" s="6" t="s">
        <v>2</v>
      </c>
      <c r="M14" s="25"/>
    </row>
    <row r="15" spans="1:13" x14ac:dyDescent="0.2">
      <c r="A15" s="1"/>
      <c r="B15" s="16" t="s">
        <v>47</v>
      </c>
      <c r="C15" s="2"/>
      <c r="D15" s="3"/>
      <c r="E15" s="11"/>
      <c r="F15" s="3"/>
      <c r="G15" s="10"/>
      <c r="H15" s="3"/>
      <c r="I15" s="4"/>
      <c r="J15" s="3"/>
      <c r="K15" s="3"/>
      <c r="L15" s="3"/>
    </row>
    <row r="16" spans="1:13" x14ac:dyDescent="0.2">
      <c r="A16" s="1">
        <v>61</v>
      </c>
      <c r="B16" s="1" t="s">
        <v>46</v>
      </c>
      <c r="C16" s="2">
        <f>10-1.3</f>
        <v>8.6999999999999993</v>
      </c>
      <c r="D16" s="3">
        <f>RANK(C16,C$16:C$22)</f>
        <v>6</v>
      </c>
      <c r="E16" s="11">
        <f>10.5-1.2</f>
        <v>9.3000000000000007</v>
      </c>
      <c r="F16" s="3">
        <f>RANK(E16,E$16:E$22)</f>
        <v>1</v>
      </c>
      <c r="G16" s="10">
        <f>10-2.7</f>
        <v>7.3</v>
      </c>
      <c r="H16" s="3">
        <f>RANK(G16,G$16:G$22)</f>
        <v>1</v>
      </c>
      <c r="I16" s="4">
        <f>10.5-2.7</f>
        <v>7.8</v>
      </c>
      <c r="J16" s="3">
        <f>RANK(I16,I$16:I$22)</f>
        <v>5</v>
      </c>
      <c r="K16" s="3">
        <f>+C16+E16+G16+I16</f>
        <v>33.1</v>
      </c>
      <c r="L16" s="3">
        <f>RANK(K16,K$16:K$22)</f>
        <v>4</v>
      </c>
    </row>
    <row r="17" spans="1:12" x14ac:dyDescent="0.2">
      <c r="A17" s="1">
        <v>62</v>
      </c>
      <c r="B17" s="1" t="s">
        <v>45</v>
      </c>
      <c r="C17" s="2">
        <f>10-1.2</f>
        <v>8.8000000000000007</v>
      </c>
      <c r="D17" s="3">
        <f>RANK(C17,C$16:C$22)</f>
        <v>5</v>
      </c>
      <c r="E17" s="11">
        <f>10.5-1.4</f>
        <v>9.1</v>
      </c>
      <c r="F17" s="3">
        <f>RANK(E17,E$16:E$22)</f>
        <v>4</v>
      </c>
      <c r="G17" s="10">
        <f>10-2.9</f>
        <v>7.1</v>
      </c>
      <c r="H17" s="3">
        <f>RANK(G17,G$16:G$22)</f>
        <v>2</v>
      </c>
      <c r="I17" s="4">
        <f>10.5-1.3</f>
        <v>9.1999999999999993</v>
      </c>
      <c r="J17" s="3">
        <f>RANK(I17,I$16:I$22)</f>
        <v>1</v>
      </c>
      <c r="K17" s="3">
        <f>+C17+E17+G17+I17</f>
        <v>34.200000000000003</v>
      </c>
      <c r="L17" s="3">
        <f>RANK(K17,K$16:K$22)</f>
        <v>1</v>
      </c>
    </row>
    <row r="18" spans="1:12" x14ac:dyDescent="0.2">
      <c r="A18" s="1">
        <v>63</v>
      </c>
      <c r="B18" s="1" t="s">
        <v>44</v>
      </c>
      <c r="C18" s="2">
        <f>10-0.8</f>
        <v>9.1999999999999993</v>
      </c>
      <c r="D18" s="3">
        <f>RANK(C18,C$16:C$22)</f>
        <v>1</v>
      </c>
      <c r="E18" s="11">
        <f>10.5-1.3</f>
        <v>9.1999999999999993</v>
      </c>
      <c r="F18" s="3">
        <f>RANK(E18,E$16:E$22)</f>
        <v>3</v>
      </c>
      <c r="G18" s="10">
        <f>10-2.9</f>
        <v>7.1</v>
      </c>
      <c r="H18" s="3">
        <f>RANK(G18,G$16:G$22)</f>
        <v>2</v>
      </c>
      <c r="I18" s="4">
        <f>10.5-2.5</f>
        <v>8</v>
      </c>
      <c r="J18" s="3">
        <f>RANK(I18,I$16:I$22)</f>
        <v>4</v>
      </c>
      <c r="K18" s="3">
        <f>+C18+E18+G18+I18</f>
        <v>33.5</v>
      </c>
      <c r="L18" s="3">
        <f>RANK(K18,K$16:K$22)</f>
        <v>3</v>
      </c>
    </row>
    <row r="19" spans="1:12" x14ac:dyDescent="0.2">
      <c r="A19" s="1">
        <v>64</v>
      </c>
      <c r="B19" s="1" t="s">
        <v>43</v>
      </c>
      <c r="C19" s="2">
        <f>10-1.1</f>
        <v>8.9</v>
      </c>
      <c r="D19" s="3">
        <f>RANK(C19,C$16:C$22)</f>
        <v>4</v>
      </c>
      <c r="E19" s="11">
        <f>10.5-1.5</f>
        <v>9</v>
      </c>
      <c r="F19" s="3">
        <f>RANK(E19,E$16:E$22)</f>
        <v>5</v>
      </c>
      <c r="G19" s="10">
        <f>10-5.9</f>
        <v>4.0999999999999996</v>
      </c>
      <c r="H19" s="3">
        <f>RANK(G19,G$16:G$22)</f>
        <v>7</v>
      </c>
      <c r="I19" s="4">
        <f>10-2.6</f>
        <v>7.4</v>
      </c>
      <c r="J19" s="3">
        <f>RANK(I19,I$16:I$22)</f>
        <v>7</v>
      </c>
      <c r="K19" s="3">
        <f>+C19+E19+G19+I19</f>
        <v>29.4</v>
      </c>
      <c r="L19" s="3">
        <f>RANK(K19,K$16:K$22)</f>
        <v>7</v>
      </c>
    </row>
    <row r="20" spans="1:12" x14ac:dyDescent="0.2">
      <c r="A20" s="1">
        <v>65</v>
      </c>
      <c r="B20" s="1" t="s">
        <v>42</v>
      </c>
      <c r="C20" s="2">
        <f>10-1.4</f>
        <v>8.6</v>
      </c>
      <c r="D20" s="3">
        <f>RANK(C20,C$16:C$22)</f>
        <v>7</v>
      </c>
      <c r="E20" s="11">
        <f>10-1.4</f>
        <v>8.6</v>
      </c>
      <c r="F20" s="3">
        <f>RANK(E20,E$16:E$22)</f>
        <v>6</v>
      </c>
      <c r="G20" s="10">
        <f>10-3.3</f>
        <v>6.7</v>
      </c>
      <c r="H20" s="3">
        <f>RANK(G20,G$16:G$22)</f>
        <v>4</v>
      </c>
      <c r="I20" s="4">
        <f>10-1.3</f>
        <v>8.6999999999999993</v>
      </c>
      <c r="J20" s="3">
        <f>RANK(I20,I$16:I$22)</f>
        <v>3</v>
      </c>
      <c r="K20" s="3">
        <f>+C20+E20+G20+I20</f>
        <v>32.599999999999994</v>
      </c>
      <c r="L20" s="3">
        <f>RANK(K20,K$16:K$22)</f>
        <v>5</v>
      </c>
    </row>
    <row r="21" spans="1:12" x14ac:dyDescent="0.2">
      <c r="A21" s="1">
        <v>67</v>
      </c>
      <c r="B21" s="1" t="s">
        <v>41</v>
      </c>
      <c r="C21" s="2">
        <f>10-1</f>
        <v>9</v>
      </c>
      <c r="D21" s="3">
        <f>RANK(C21,C$16:C$22)</f>
        <v>3</v>
      </c>
      <c r="E21" s="11">
        <f>10.5-1.2</f>
        <v>9.3000000000000007</v>
      </c>
      <c r="F21" s="3">
        <f>RANK(E21,E$16:E$22)</f>
        <v>1</v>
      </c>
      <c r="G21" s="10">
        <f>10-3.3</f>
        <v>6.7</v>
      </c>
      <c r="H21" s="3">
        <f>RANK(G21,G$16:G$22)</f>
        <v>4</v>
      </c>
      <c r="I21" s="4">
        <f>10.5-1.4</f>
        <v>9.1</v>
      </c>
      <c r="J21" s="3">
        <f>RANK(I21,I$16:I$22)</f>
        <v>2</v>
      </c>
      <c r="K21" s="3">
        <f>+C21+E21+G21+I21</f>
        <v>34.1</v>
      </c>
      <c r="L21" s="3">
        <f>RANK(K21,K$16:K$22)</f>
        <v>2</v>
      </c>
    </row>
    <row r="22" spans="1:12" x14ac:dyDescent="0.2">
      <c r="A22" s="1">
        <v>68</v>
      </c>
      <c r="B22" s="1" t="s">
        <v>40</v>
      </c>
      <c r="C22" s="2">
        <f>10-0.9</f>
        <v>9.1</v>
      </c>
      <c r="D22" s="3">
        <f>RANK(C22,C$16:C$22)</f>
        <v>2</v>
      </c>
      <c r="E22" s="11">
        <f>10.5-2.1</f>
        <v>8.4</v>
      </c>
      <c r="F22" s="3">
        <f>RANK(E22,E$16:E$22)</f>
        <v>7</v>
      </c>
      <c r="G22" s="10">
        <f>10-3.8</f>
        <v>6.2</v>
      </c>
      <c r="H22" s="3">
        <f>RANK(G22,G$16:G$22)</f>
        <v>6</v>
      </c>
      <c r="I22" s="4">
        <f>10.5-2.9</f>
        <v>7.6</v>
      </c>
      <c r="J22" s="3">
        <f>RANK(I22,I$16:I$22)</f>
        <v>6</v>
      </c>
      <c r="K22" s="3">
        <f>+C22+E22+G22+I22</f>
        <v>31.299999999999997</v>
      </c>
      <c r="L22" s="3">
        <f>RANK(K22,K$16:K$22)</f>
        <v>6</v>
      </c>
    </row>
    <row r="24" spans="1:12" x14ac:dyDescent="0.2">
      <c r="C24" s="5" t="s">
        <v>1</v>
      </c>
      <c r="D24" s="6" t="s">
        <v>2</v>
      </c>
      <c r="E24" s="22" t="s">
        <v>22</v>
      </c>
      <c r="F24" s="6" t="s">
        <v>2</v>
      </c>
      <c r="G24" s="21" t="s">
        <v>21</v>
      </c>
      <c r="H24" s="6" t="s">
        <v>2</v>
      </c>
      <c r="I24" s="20" t="s">
        <v>3</v>
      </c>
      <c r="J24" s="6" t="s">
        <v>2</v>
      </c>
      <c r="K24" s="12" t="s">
        <v>8</v>
      </c>
      <c r="L24" s="6" t="s">
        <v>2</v>
      </c>
    </row>
    <row r="25" spans="1:12" x14ac:dyDescent="0.2">
      <c r="A25" s="1"/>
      <c r="B25" s="16" t="s">
        <v>39</v>
      </c>
      <c r="C25" s="5"/>
      <c r="D25" s="19"/>
      <c r="E25" s="15"/>
      <c r="F25" s="19"/>
      <c r="G25" s="14"/>
      <c r="H25" s="19"/>
      <c r="I25" s="13"/>
      <c r="J25" s="19"/>
      <c r="K25" s="12"/>
      <c r="L25" s="19"/>
    </row>
    <row r="26" spans="1:12" x14ac:dyDescent="0.2">
      <c r="A26" s="1">
        <v>49</v>
      </c>
      <c r="B26" s="1" t="s">
        <v>38</v>
      </c>
      <c r="C26" s="2">
        <f>13-0.5</f>
        <v>12.5</v>
      </c>
      <c r="D26" s="3">
        <f>RANK(C26:C31,C$26:C$31)</f>
        <v>1</v>
      </c>
      <c r="E26" s="11">
        <f>12-2.2</f>
        <v>9.8000000000000007</v>
      </c>
      <c r="F26" s="3">
        <f>RANK(E26:E31,E$26:E$31)</f>
        <v>4</v>
      </c>
      <c r="G26" s="10">
        <f>12.7-3.3</f>
        <v>9.3999999999999986</v>
      </c>
      <c r="H26" s="3">
        <f>RANK(G26:G31,G$26:G$31)</f>
        <v>6</v>
      </c>
      <c r="I26" s="4">
        <f>11.5-2.3</f>
        <v>9.1999999999999993</v>
      </c>
      <c r="J26" s="3">
        <f>RANK(I26:I31,I$26:I$31)</f>
        <v>6</v>
      </c>
      <c r="K26" s="3">
        <f>+C26+E26+G26+I26</f>
        <v>40.9</v>
      </c>
      <c r="L26" s="3">
        <f>RANK(K26:K31,K$26:K$31)</f>
        <v>6</v>
      </c>
    </row>
    <row r="27" spans="1:12" x14ac:dyDescent="0.2">
      <c r="A27" s="1">
        <v>50</v>
      </c>
      <c r="B27" s="1" t="s">
        <v>37</v>
      </c>
      <c r="C27" s="2">
        <f>13-0.6</f>
        <v>12.4</v>
      </c>
      <c r="D27" s="3">
        <f>RANK(C27:C32,C$26:C$31)</f>
        <v>2</v>
      </c>
      <c r="E27" s="11">
        <f>12.5-2</f>
        <v>10.5</v>
      </c>
      <c r="F27" s="3">
        <f>RANK(E27:E32,E$26:E$31)</f>
        <v>2</v>
      </c>
      <c r="G27" s="10">
        <f>12.7-2.85</f>
        <v>9.85</v>
      </c>
      <c r="H27" s="3">
        <f>RANK(G27:G32,G$26:G$31)</f>
        <v>3</v>
      </c>
      <c r="I27" s="4">
        <f>12.8-2.4</f>
        <v>10.4</v>
      </c>
      <c r="J27" s="3">
        <f>RANK(I27:I32,I$26:I$31)</f>
        <v>5</v>
      </c>
      <c r="K27" s="3">
        <f>+C27+E27+G27+I27</f>
        <v>43.15</v>
      </c>
      <c r="L27" s="3">
        <f>RANK(K27:K32,K$26:K$31)</f>
        <v>4</v>
      </c>
    </row>
    <row r="28" spans="1:12" x14ac:dyDescent="0.2">
      <c r="A28" s="1">
        <v>51</v>
      </c>
      <c r="B28" s="1" t="s">
        <v>36</v>
      </c>
      <c r="C28" s="2">
        <f>13-0.6</f>
        <v>12.4</v>
      </c>
      <c r="D28" s="3">
        <f>RANK(C28:C34,C$26:C$31)</f>
        <v>2</v>
      </c>
      <c r="E28" s="11">
        <f>12.5-2</f>
        <v>10.5</v>
      </c>
      <c r="F28" s="3">
        <f>RANK(E28:E34,E$26:E$31)</f>
        <v>2</v>
      </c>
      <c r="G28" s="10">
        <f>12.6-3.1</f>
        <v>9.5</v>
      </c>
      <c r="H28" s="3">
        <f>RANK(G28:G34,G$26:G$31)</f>
        <v>5</v>
      </c>
      <c r="I28" s="4">
        <f>13-1.3</f>
        <v>11.7</v>
      </c>
      <c r="J28" s="3">
        <f>RANK(I28:I34,I$26:I$31)</f>
        <v>1</v>
      </c>
      <c r="K28" s="3">
        <f>+C28+E28+G28+I28</f>
        <v>44.099999999999994</v>
      </c>
      <c r="L28" s="3">
        <f>RANK(K28:K34,K$26:K$31)</f>
        <v>2</v>
      </c>
    </row>
    <row r="29" spans="1:12" x14ac:dyDescent="0.2">
      <c r="A29" s="1">
        <v>77</v>
      </c>
      <c r="B29" s="1" t="s">
        <v>35</v>
      </c>
      <c r="C29" s="2">
        <f>13-0.9</f>
        <v>12.1</v>
      </c>
      <c r="D29" s="3">
        <f>RANK(C29:C35,C$26:C$31)</f>
        <v>5</v>
      </c>
      <c r="E29" s="11">
        <f>11-2</f>
        <v>9</v>
      </c>
      <c r="F29" s="3">
        <f>RANK(E29:E35,E$26:E$31)</f>
        <v>6</v>
      </c>
      <c r="G29" s="10">
        <f>12.7-3.1</f>
        <v>9.6</v>
      </c>
      <c r="H29" s="3">
        <f>RANK(G29:G35,G$26:G$31)</f>
        <v>4</v>
      </c>
      <c r="I29" s="4">
        <f>12.7-1.9</f>
        <v>10.799999999999999</v>
      </c>
      <c r="J29" s="3">
        <f>RANK(I29:I35,I$26:I$31)</f>
        <v>4</v>
      </c>
      <c r="K29" s="3">
        <f>+C29+E29+G29+I29</f>
        <v>41.5</v>
      </c>
      <c r="L29" s="3">
        <f>RANK(K29:K35,K$26:K$31)</f>
        <v>5</v>
      </c>
    </row>
    <row r="30" spans="1:12" x14ac:dyDescent="0.2">
      <c r="A30" s="1">
        <v>78</v>
      </c>
      <c r="B30" s="1" t="s">
        <v>34</v>
      </c>
      <c r="C30" s="2">
        <f>13-1</f>
        <v>12</v>
      </c>
      <c r="D30" s="3">
        <f>RANK(C30:C35,C$26:C$31)</f>
        <v>6</v>
      </c>
      <c r="E30" s="11">
        <f>13-2.4</f>
        <v>10.6</v>
      </c>
      <c r="F30" s="3">
        <f>RANK(E30:E35,E$26:E$31)</f>
        <v>1</v>
      </c>
      <c r="G30" s="10">
        <f>12.6-2.15</f>
        <v>10.45</v>
      </c>
      <c r="H30" s="3">
        <f>RANK(G30:G35,G$26:G$31)</f>
        <v>2</v>
      </c>
      <c r="I30" s="4">
        <f>13-1.9</f>
        <v>11.1</v>
      </c>
      <c r="J30" s="3">
        <f>RANK(I30:I35,I$26:I$31)</f>
        <v>3</v>
      </c>
      <c r="K30" s="3">
        <f>+C30+E30+G30+I30</f>
        <v>44.15</v>
      </c>
      <c r="L30" s="3">
        <f>RANK(K30:K35,K$26:K$31)</f>
        <v>1</v>
      </c>
    </row>
    <row r="31" spans="1:12" x14ac:dyDescent="0.2">
      <c r="A31" s="1">
        <v>79</v>
      </c>
      <c r="B31" s="1" t="s">
        <v>33</v>
      </c>
      <c r="C31" s="2">
        <f>13-0.8</f>
        <v>12.2</v>
      </c>
      <c r="D31" s="3">
        <f>RANK(C31:C36,C$26:C$31)</f>
        <v>4</v>
      </c>
      <c r="E31" s="11">
        <f>12.8-3</f>
        <v>9.8000000000000007</v>
      </c>
      <c r="F31" s="3">
        <f>RANK(E31:E36,E$26:E$31)</f>
        <v>4</v>
      </c>
      <c r="G31" s="10">
        <f>12.7-2.2</f>
        <v>10.5</v>
      </c>
      <c r="H31" s="3">
        <f>RANK(G31:G36,G$26:G$31)</f>
        <v>1</v>
      </c>
      <c r="I31" s="4">
        <f>12.8-1.4</f>
        <v>11.4</v>
      </c>
      <c r="J31" s="3">
        <f>RANK(I31:I36,I$26:I$31)</f>
        <v>2</v>
      </c>
      <c r="K31" s="3">
        <f>+C31+E31+G31+I31</f>
        <v>43.9</v>
      </c>
      <c r="L31" s="3">
        <f>RANK(K31:K36,K$26:K$31)</f>
        <v>3</v>
      </c>
    </row>
    <row r="33" spans="1:14" x14ac:dyDescent="0.2">
      <c r="C33" s="24" t="s">
        <v>0</v>
      </c>
      <c r="D33" s="23"/>
      <c r="E33" s="23"/>
      <c r="F33" s="23"/>
      <c r="G33" s="23"/>
      <c r="H33" s="23"/>
      <c r="I33" s="23"/>
      <c r="J33" s="23"/>
      <c r="L33" t="s">
        <v>4</v>
      </c>
      <c r="N33" t="s">
        <v>5</v>
      </c>
    </row>
    <row r="34" spans="1:14" x14ac:dyDescent="0.2">
      <c r="C34" s="5" t="s">
        <v>1</v>
      </c>
      <c r="D34" s="6" t="s">
        <v>2</v>
      </c>
      <c r="E34" s="22" t="s">
        <v>22</v>
      </c>
      <c r="F34" s="6" t="s">
        <v>2</v>
      </c>
      <c r="G34" s="21" t="s">
        <v>21</v>
      </c>
      <c r="H34" s="6" t="s">
        <v>2</v>
      </c>
      <c r="I34" s="20" t="s">
        <v>3</v>
      </c>
      <c r="J34" s="6" t="s">
        <v>2</v>
      </c>
      <c r="K34" s="12" t="s">
        <v>8</v>
      </c>
      <c r="L34" s="6" t="s">
        <v>2</v>
      </c>
    </row>
    <row r="35" spans="1:14" x14ac:dyDescent="0.2">
      <c r="A35" s="1"/>
      <c r="B35" s="16" t="s">
        <v>32</v>
      </c>
      <c r="C35" s="5"/>
      <c r="D35" s="19"/>
      <c r="E35" s="15"/>
      <c r="F35" s="19"/>
      <c r="G35" s="14"/>
      <c r="H35" s="19"/>
      <c r="I35" s="13"/>
      <c r="J35" s="19"/>
      <c r="K35" s="12"/>
      <c r="L35" s="19"/>
    </row>
    <row r="36" spans="1:14" x14ac:dyDescent="0.2">
      <c r="A36" s="1">
        <v>38</v>
      </c>
      <c r="B36" s="1" t="s">
        <v>31</v>
      </c>
      <c r="C36" s="2">
        <f>12.4-1.7</f>
        <v>10.700000000000001</v>
      </c>
      <c r="D36" s="3">
        <f>RANK(C36,C$36:C$45)</f>
        <v>8</v>
      </c>
      <c r="E36" s="11">
        <f>12.1-4</f>
        <v>8.1</v>
      </c>
      <c r="F36" s="3">
        <f>RANK(E36,E$36:E$45)</f>
        <v>9</v>
      </c>
      <c r="G36" s="10">
        <f>11.8-3.2</f>
        <v>8.6000000000000014</v>
      </c>
      <c r="H36" s="3">
        <f>RANK(G36,G$36:G$45)</f>
        <v>7</v>
      </c>
      <c r="I36" s="4">
        <f>13.3-1.5</f>
        <v>11.8</v>
      </c>
      <c r="J36" s="3">
        <f>RANK(I36,I$36:I$45)</f>
        <v>1</v>
      </c>
      <c r="K36" s="3">
        <f>+C36+E36+G36+I36</f>
        <v>39.200000000000003</v>
      </c>
      <c r="L36" s="3">
        <f>RANK(K36,K$36:K$45)</f>
        <v>8</v>
      </c>
      <c r="N36" s="9">
        <f>RANK(K36,K$36:K$38)</f>
        <v>3</v>
      </c>
    </row>
    <row r="37" spans="1:14" x14ac:dyDescent="0.2">
      <c r="A37" s="1">
        <v>39</v>
      </c>
      <c r="B37" s="1" t="s">
        <v>30</v>
      </c>
      <c r="C37" s="2">
        <f>12.4-1.4</f>
        <v>11</v>
      </c>
      <c r="D37" s="3">
        <f>RANK(C37,C$36:C$45)</f>
        <v>5</v>
      </c>
      <c r="E37" s="11">
        <f>12.9-2.1</f>
        <v>10.8</v>
      </c>
      <c r="F37" s="3">
        <f>RANK(E37,E$36:E$45)</f>
        <v>2</v>
      </c>
      <c r="G37" s="10">
        <f>12.3-2.25</f>
        <v>10.050000000000001</v>
      </c>
      <c r="H37" s="3">
        <f>RANK(G37,G$36:G$45)</f>
        <v>3</v>
      </c>
      <c r="I37" s="4">
        <f>13.3-2</f>
        <v>11.3</v>
      </c>
      <c r="J37" s="3">
        <f>RANK(I37,I$36:I$45)</f>
        <v>7</v>
      </c>
      <c r="K37" s="3">
        <f>+C37+E37+G37+I37</f>
        <v>43.150000000000006</v>
      </c>
      <c r="L37" s="3">
        <f>RANK(K37,K$36:K$45)</f>
        <v>3</v>
      </c>
      <c r="N37" s="9">
        <f>RANK(K37,K$36:K$38)</f>
        <v>2</v>
      </c>
    </row>
    <row r="38" spans="1:14" x14ac:dyDescent="0.2">
      <c r="A38" s="1">
        <v>40</v>
      </c>
      <c r="B38" s="1" t="s">
        <v>29</v>
      </c>
      <c r="C38" s="2">
        <f>12.4-1.2</f>
        <v>11.200000000000001</v>
      </c>
      <c r="D38" s="3">
        <f>RANK(C38,C$36:C$45)</f>
        <v>2</v>
      </c>
      <c r="E38" s="11">
        <f>12.9-2.2</f>
        <v>10.7</v>
      </c>
      <c r="F38" s="3">
        <f>RANK(E38,E$36:E$45)</f>
        <v>3</v>
      </c>
      <c r="G38" s="10">
        <f>13.1-3.35</f>
        <v>9.75</v>
      </c>
      <c r="H38" s="3">
        <f>RANK(G38,G$36:G$45)</f>
        <v>5</v>
      </c>
      <c r="I38" s="4">
        <f>13.3-1.7</f>
        <v>11.600000000000001</v>
      </c>
      <c r="J38" s="3">
        <f>RANK(I38,I$36:I$45)</f>
        <v>2</v>
      </c>
      <c r="K38" s="3">
        <f>+C38+E38+G38+I38</f>
        <v>43.25</v>
      </c>
      <c r="L38" s="3">
        <f>RANK(K38,K$36:K$45)</f>
        <v>2</v>
      </c>
      <c r="N38" s="9">
        <f>RANK(K38,K$36:K$38)</f>
        <v>1</v>
      </c>
    </row>
    <row r="39" spans="1:14" x14ac:dyDescent="0.2">
      <c r="A39" s="1"/>
      <c r="B39" s="16" t="s">
        <v>28</v>
      </c>
      <c r="C39" s="5"/>
      <c r="D39" s="19"/>
      <c r="E39" s="15"/>
      <c r="F39" s="19"/>
      <c r="G39" s="14"/>
      <c r="H39" s="19"/>
      <c r="I39" s="13"/>
      <c r="J39" s="19"/>
      <c r="K39" s="12"/>
      <c r="L39" s="19"/>
    </row>
    <row r="40" spans="1:14" x14ac:dyDescent="0.2">
      <c r="A40" s="1">
        <v>52</v>
      </c>
      <c r="B40" s="1" t="s">
        <v>7</v>
      </c>
      <c r="C40" s="2">
        <f>11.6-1.3</f>
        <v>10.299999999999999</v>
      </c>
      <c r="D40" s="3">
        <f>RANK(C40,C$36:C$45)</f>
        <v>9</v>
      </c>
      <c r="E40" s="11">
        <f>12-3.6</f>
        <v>8.4</v>
      </c>
      <c r="F40" s="3">
        <f>RANK(E40,E$36:E$45)</f>
        <v>8</v>
      </c>
      <c r="G40" s="10">
        <v>8.25</v>
      </c>
      <c r="H40" s="3">
        <f>RANK(G40,G$36:G$45)</f>
        <v>9</v>
      </c>
      <c r="I40" s="4">
        <f>13.1-2.7</f>
        <v>10.399999999999999</v>
      </c>
      <c r="J40" s="3">
        <f>RANK(I40,I$36:I$45)</f>
        <v>9</v>
      </c>
      <c r="K40" s="3">
        <f>+C40+E40+G40+I40</f>
        <v>37.349999999999994</v>
      </c>
      <c r="L40" s="3">
        <f>RANK(K40,K$36:K$45)</f>
        <v>9</v>
      </c>
      <c r="N40" s="9">
        <f>RANK(K40,K$40:K$45)</f>
        <v>6</v>
      </c>
    </row>
    <row r="41" spans="1:14" x14ac:dyDescent="0.2">
      <c r="A41" s="1">
        <v>53</v>
      </c>
      <c r="B41" s="1" t="s">
        <v>27</v>
      </c>
      <c r="C41" s="2">
        <f>11.6-0.8</f>
        <v>10.799999999999999</v>
      </c>
      <c r="D41" s="3">
        <f>RANK(C41,C$36:C$45)</f>
        <v>7</v>
      </c>
      <c r="E41" s="11">
        <f>12.6-2.4</f>
        <v>10.199999999999999</v>
      </c>
      <c r="F41" s="3">
        <f>RANK(E41,E$36:E$45)</f>
        <v>4</v>
      </c>
      <c r="G41" s="10">
        <f>12.1-3.25</f>
        <v>8.85</v>
      </c>
      <c r="H41" s="3">
        <f>RANK(G41,G$36:G$45)</f>
        <v>6</v>
      </c>
      <c r="I41" s="4">
        <f>13.2-2.4</f>
        <v>10.799999999999999</v>
      </c>
      <c r="J41" s="3">
        <f>RANK(I41,I$36:I$45)</f>
        <v>8</v>
      </c>
      <c r="K41" s="3">
        <f>+C41+E41+G41+I41</f>
        <v>40.65</v>
      </c>
      <c r="L41" s="3">
        <f>RANK(K41,K$36:K$45)</f>
        <v>7</v>
      </c>
      <c r="N41" s="9">
        <f>RANK(K41,K$40:K$45)</f>
        <v>5</v>
      </c>
    </row>
    <row r="42" spans="1:14" x14ac:dyDescent="0.2">
      <c r="A42" s="1">
        <v>54</v>
      </c>
      <c r="B42" s="1" t="s">
        <v>26</v>
      </c>
      <c r="C42" s="2">
        <f>12.4-0.9</f>
        <v>11.5</v>
      </c>
      <c r="D42" s="3">
        <f>RANK(C42,C$36:C$45)</f>
        <v>1</v>
      </c>
      <c r="E42" s="11">
        <f>12.9-3.1</f>
        <v>9.8000000000000007</v>
      </c>
      <c r="F42" s="3">
        <f>RANK(E42,E$36:E$45)</f>
        <v>5</v>
      </c>
      <c r="G42" s="10">
        <f>12.3-3.75</f>
        <v>8.5500000000000007</v>
      </c>
      <c r="H42" s="3">
        <f>RANK(G42,G$36:G$45)</f>
        <v>8</v>
      </c>
      <c r="I42" s="4">
        <f>13.2-1.7</f>
        <v>11.5</v>
      </c>
      <c r="J42" s="3">
        <f>RANK(I42,I$36:I$45)</f>
        <v>4</v>
      </c>
      <c r="K42" s="3">
        <f>+C42+E42+G42+I42</f>
        <v>41.35</v>
      </c>
      <c r="L42" s="3">
        <f>RANK(K42,K$36:K$45)</f>
        <v>6</v>
      </c>
      <c r="N42" s="9">
        <f>RANK(K42,K$40:K$45)</f>
        <v>4</v>
      </c>
    </row>
    <row r="43" spans="1:14" x14ac:dyDescent="0.2">
      <c r="A43" s="1">
        <v>55</v>
      </c>
      <c r="B43" s="1" t="s">
        <v>25</v>
      </c>
      <c r="C43" s="2">
        <f>12-1</f>
        <v>11</v>
      </c>
      <c r="D43" s="3">
        <f>RANK(C43,C$36:C$45)</f>
        <v>5</v>
      </c>
      <c r="E43" s="11">
        <f>12.6-3.1</f>
        <v>9.5</v>
      </c>
      <c r="F43" s="3">
        <f>RANK(E43,E$36:E$45)</f>
        <v>7</v>
      </c>
      <c r="G43" s="10">
        <f>12.3-2.05</f>
        <v>10.25</v>
      </c>
      <c r="H43" s="3">
        <f>RANK(G43,G$36:G$45)</f>
        <v>1</v>
      </c>
      <c r="I43" s="4">
        <f>13.1-1.7</f>
        <v>11.4</v>
      </c>
      <c r="J43" s="3">
        <f>RANK(I43,I$36:I$45)</f>
        <v>5</v>
      </c>
      <c r="K43" s="3">
        <f>+C43+E43+G43+I43</f>
        <v>42.15</v>
      </c>
      <c r="L43" s="3">
        <f>RANK(K43,K$36:K$45)</f>
        <v>5</v>
      </c>
      <c r="N43" s="9">
        <f>RANK(K43,K$40:K$45)</f>
        <v>3</v>
      </c>
    </row>
    <row r="44" spans="1:14" x14ac:dyDescent="0.2">
      <c r="A44" s="1">
        <v>56</v>
      </c>
      <c r="B44" s="1" t="s">
        <v>24</v>
      </c>
      <c r="C44" s="2">
        <f>12.4-1.2</f>
        <v>11.200000000000001</v>
      </c>
      <c r="D44" s="3">
        <f>RANK(C44,C$36:C$45)</f>
        <v>2</v>
      </c>
      <c r="E44" s="11">
        <f>12.9-3.1</f>
        <v>9.8000000000000007</v>
      </c>
      <c r="F44" s="3">
        <f>RANK(E44,E$36:E$45)</f>
        <v>5</v>
      </c>
      <c r="G44" s="10">
        <f>12.3-2.3</f>
        <v>10</v>
      </c>
      <c r="H44" s="3">
        <f>RANK(G44,G$36:G$45)</f>
        <v>4</v>
      </c>
      <c r="I44" s="4">
        <f>13.2-1.6</f>
        <v>11.6</v>
      </c>
      <c r="J44" s="3">
        <f>RANK(I44,I$36:I$45)</f>
        <v>3</v>
      </c>
      <c r="K44" s="3">
        <f>+C44+E44+G44+I44</f>
        <v>42.6</v>
      </c>
      <c r="L44" s="3">
        <f>RANK(K44,K$36:K$45)</f>
        <v>4</v>
      </c>
      <c r="N44" s="9">
        <f>RANK(K44,K$40:K$45)</f>
        <v>2</v>
      </c>
    </row>
    <row r="45" spans="1:14" x14ac:dyDescent="0.2">
      <c r="A45" s="1">
        <v>57</v>
      </c>
      <c r="B45" s="1" t="s">
        <v>23</v>
      </c>
      <c r="C45" s="2">
        <f>12.4-1.3</f>
        <v>11.1</v>
      </c>
      <c r="D45" s="3">
        <f>RANK(C45,C$36:C$45)</f>
        <v>4</v>
      </c>
      <c r="E45" s="11">
        <f>13.3-1.8</f>
        <v>11.5</v>
      </c>
      <c r="F45" s="3">
        <f>RANK(E45,E$36:E$45)</f>
        <v>1</v>
      </c>
      <c r="G45" s="10">
        <f>12.2-2</f>
        <v>10.199999999999999</v>
      </c>
      <c r="H45" s="3">
        <f>RANK(G45,G$36:G$45)</f>
        <v>2</v>
      </c>
      <c r="I45" s="4">
        <f>13.2-1.8</f>
        <v>11.399999999999999</v>
      </c>
      <c r="J45" s="3">
        <v>5</v>
      </c>
      <c r="K45" s="3">
        <f>+C45+E45+G45+I45</f>
        <v>44.199999999999996</v>
      </c>
      <c r="L45" s="3">
        <f>RANK(K45,K$36:K$45)</f>
        <v>1</v>
      </c>
      <c r="N45" s="9">
        <f>RANK(K45,K$40:K$45)</f>
        <v>1</v>
      </c>
    </row>
    <row r="47" spans="1:14" x14ac:dyDescent="0.2">
      <c r="C47" s="24" t="s">
        <v>0</v>
      </c>
      <c r="D47" s="23"/>
      <c r="E47" s="23"/>
      <c r="F47" s="23"/>
      <c r="G47" s="23"/>
      <c r="H47" s="23"/>
      <c r="I47" s="23"/>
      <c r="J47" s="23"/>
      <c r="L47" t="s">
        <v>4</v>
      </c>
      <c r="N47" t="s">
        <v>6</v>
      </c>
    </row>
    <row r="48" spans="1:14" x14ac:dyDescent="0.2">
      <c r="C48" s="5" t="s">
        <v>1</v>
      </c>
      <c r="D48" s="6" t="s">
        <v>2</v>
      </c>
      <c r="E48" s="22" t="s">
        <v>22</v>
      </c>
      <c r="F48" s="6" t="s">
        <v>2</v>
      </c>
      <c r="G48" s="21" t="s">
        <v>21</v>
      </c>
      <c r="H48" s="6" t="s">
        <v>2</v>
      </c>
      <c r="I48" s="20" t="s">
        <v>3</v>
      </c>
      <c r="J48" s="6" t="s">
        <v>2</v>
      </c>
      <c r="K48" s="12" t="s">
        <v>8</v>
      </c>
      <c r="L48" s="6" t="s">
        <v>2</v>
      </c>
    </row>
    <row r="49" spans="1:14" x14ac:dyDescent="0.2">
      <c r="A49" s="1"/>
      <c r="B49" s="16" t="s">
        <v>20</v>
      </c>
      <c r="C49" s="5"/>
      <c r="D49" s="19"/>
      <c r="E49" s="15"/>
      <c r="F49" s="9"/>
      <c r="G49" s="14"/>
      <c r="H49" s="9"/>
      <c r="I49" s="18"/>
      <c r="J49" s="9"/>
      <c r="K49" s="17"/>
      <c r="L49" s="9"/>
    </row>
    <row r="50" spans="1:14" x14ac:dyDescent="0.2">
      <c r="A50" s="1">
        <v>41</v>
      </c>
      <c r="B50" s="1" t="s">
        <v>19</v>
      </c>
      <c r="C50" s="2">
        <f>12.4-0.7</f>
        <v>11.700000000000001</v>
      </c>
      <c r="D50" s="9">
        <f>RANK(C50,C$50:C$61)</f>
        <v>2</v>
      </c>
      <c r="E50" s="11">
        <f>13.1-2.4</f>
        <v>10.7</v>
      </c>
      <c r="F50" s="9">
        <f>RANK(E50,E$50:E$61)</f>
        <v>4</v>
      </c>
      <c r="G50" s="10">
        <f>12.3-4.65</f>
        <v>7.65</v>
      </c>
      <c r="H50" s="9">
        <f>RANK(G50,G$50:G$61)</f>
        <v>8</v>
      </c>
      <c r="I50" s="4">
        <f>13.6-2.2</f>
        <v>11.399999999999999</v>
      </c>
      <c r="J50" s="9">
        <f>RANK(I50,I$50:I$61)</f>
        <v>5</v>
      </c>
      <c r="K50" s="3">
        <f>+C50+E50+G50+I50</f>
        <v>41.449999999999996</v>
      </c>
      <c r="L50" s="9">
        <f>RANK(K50,K$50:K$61)</f>
        <v>5</v>
      </c>
      <c r="N50" s="9">
        <f>RANK(K50,K$50:K$54)</f>
        <v>3</v>
      </c>
    </row>
    <row r="51" spans="1:14" x14ac:dyDescent="0.2">
      <c r="A51" s="1">
        <v>42</v>
      </c>
      <c r="B51" s="1" t="s">
        <v>18</v>
      </c>
      <c r="C51" s="2">
        <f>12.4-0.8</f>
        <v>11.6</v>
      </c>
      <c r="D51" s="9">
        <f>RANK(C51,C$50:C$61)</f>
        <v>5</v>
      </c>
      <c r="E51" s="11">
        <f>13.1-3.4</f>
        <v>9.6999999999999993</v>
      </c>
      <c r="F51" s="9">
        <f>RANK(E51,E$50:E$61)</f>
        <v>9</v>
      </c>
      <c r="G51" s="10">
        <f>12.8-2.85</f>
        <v>9.9500000000000011</v>
      </c>
      <c r="H51" s="9">
        <f>RANK(G51,G$50:G$61)</f>
        <v>2</v>
      </c>
      <c r="I51" s="4">
        <f>13.8-2.3</f>
        <v>11.5</v>
      </c>
      <c r="J51" s="9">
        <f>RANK(I51,I$50:I$61)</f>
        <v>3</v>
      </c>
      <c r="K51" s="3">
        <f>+C51+E51+G51+I51</f>
        <v>42.75</v>
      </c>
      <c r="L51" s="9">
        <f>RANK(K51,K$50:K$61)</f>
        <v>3</v>
      </c>
      <c r="N51" s="9">
        <f>RANK(K51,K$50:K$54)</f>
        <v>2</v>
      </c>
    </row>
    <row r="52" spans="1:14" x14ac:dyDescent="0.2">
      <c r="A52" s="1">
        <v>43</v>
      </c>
      <c r="B52" s="1" t="s">
        <v>17</v>
      </c>
      <c r="C52" s="2">
        <f>12.4-1.1</f>
        <v>11.3</v>
      </c>
      <c r="D52" s="9">
        <f>RANK(C52,C$50:C$61)</f>
        <v>9</v>
      </c>
      <c r="E52" s="11">
        <f>12.8-1.7</f>
        <v>11.100000000000001</v>
      </c>
      <c r="F52" s="9">
        <f>RANK(E52,E$50:E$61)</f>
        <v>1</v>
      </c>
      <c r="G52" s="10">
        <f>13-2.8</f>
        <v>10.199999999999999</v>
      </c>
      <c r="H52" s="9">
        <f>RANK(G52,G$50:G$61)</f>
        <v>1</v>
      </c>
      <c r="I52" s="4">
        <f>12.9-2.7</f>
        <v>10.199999999999999</v>
      </c>
      <c r="J52" s="9">
        <f>RANK(I52,I$50:I$61)</f>
        <v>10</v>
      </c>
      <c r="K52" s="3">
        <f>+C52+E52+G52+I52</f>
        <v>42.8</v>
      </c>
      <c r="L52" s="9">
        <f>RANK(K52,K$50:K$61)</f>
        <v>1</v>
      </c>
      <c r="N52" s="9">
        <f>RANK(K52,K$50:K$54)</f>
        <v>1</v>
      </c>
    </row>
    <row r="53" spans="1:14" x14ac:dyDescent="0.2">
      <c r="A53" s="1">
        <v>44</v>
      </c>
      <c r="B53" s="1" t="s">
        <v>16</v>
      </c>
      <c r="C53" s="2">
        <f>12.6-1.2</f>
        <v>11.4</v>
      </c>
      <c r="D53" s="9">
        <f>RANK(C53,C$50:C$61)</f>
        <v>7</v>
      </c>
      <c r="E53" s="11">
        <f>12.8-5.3</f>
        <v>7.5000000000000009</v>
      </c>
      <c r="F53" s="9">
        <f>RANK(E53,E$50:E$61)</f>
        <v>10</v>
      </c>
      <c r="G53" s="10">
        <f>13-3.9</f>
        <v>9.1</v>
      </c>
      <c r="H53" s="9">
        <f>RANK(G53,G$50:G$61)</f>
        <v>3</v>
      </c>
      <c r="I53" s="4">
        <f>13.5-2.4</f>
        <v>11.1</v>
      </c>
      <c r="J53" s="9">
        <f>RANK(I53,I$50:I$61)</f>
        <v>6</v>
      </c>
      <c r="K53" s="3">
        <f>+C53+E53+G53+I53</f>
        <v>39.1</v>
      </c>
      <c r="L53" s="9">
        <f>RANK(K53,K$50:K$61)</f>
        <v>10</v>
      </c>
      <c r="N53" s="9">
        <f>RANK(K53,K$50:K$54)</f>
        <v>5</v>
      </c>
    </row>
    <row r="54" spans="1:14" x14ac:dyDescent="0.2">
      <c r="A54" s="1">
        <v>58</v>
      </c>
      <c r="B54" s="1" t="s">
        <v>15</v>
      </c>
      <c r="C54" s="2">
        <f>12.4-0.7</f>
        <v>11.700000000000001</v>
      </c>
      <c r="D54" s="9">
        <f>RANK(C54,C$50:C$61)</f>
        <v>2</v>
      </c>
      <c r="E54" s="11">
        <f>12.6-2.1</f>
        <v>10.5</v>
      </c>
      <c r="F54" s="9">
        <f>RANK(E54,E$50:E$61)</f>
        <v>6</v>
      </c>
      <c r="G54" s="10">
        <f>12.4-4.55</f>
        <v>7.8500000000000005</v>
      </c>
      <c r="H54" s="9">
        <f>RANK(G54,G$50:G$61)</f>
        <v>7</v>
      </c>
      <c r="I54" s="4">
        <f>12.9-2.3</f>
        <v>10.600000000000001</v>
      </c>
      <c r="J54" s="9">
        <f>RANK(I54,I$50:I$61)</f>
        <v>9</v>
      </c>
      <c r="K54" s="3">
        <f>+C54+E54+G54+I54</f>
        <v>40.650000000000006</v>
      </c>
      <c r="L54" s="9">
        <f>RANK(K54,K$50:K$61)</f>
        <v>8</v>
      </c>
      <c r="N54" s="9">
        <f>RANK(K54,K$50:K$54)</f>
        <v>4</v>
      </c>
    </row>
    <row r="55" spans="1:14" x14ac:dyDescent="0.2">
      <c r="D55" s="9"/>
      <c r="F55" s="9"/>
      <c r="H55" s="9"/>
      <c r="J55" s="9"/>
      <c r="L55" s="9"/>
    </row>
    <row r="56" spans="1:14" x14ac:dyDescent="0.2">
      <c r="A56" s="1"/>
      <c r="B56" s="16" t="s">
        <v>14</v>
      </c>
      <c r="C56" s="5"/>
      <c r="D56" s="9"/>
      <c r="E56" s="15"/>
      <c r="F56" s="9"/>
      <c r="G56" s="14"/>
      <c r="H56" s="9"/>
      <c r="I56" s="13"/>
      <c r="J56" s="9"/>
      <c r="K56" s="12"/>
      <c r="L56" s="9"/>
    </row>
    <row r="57" spans="1:14" x14ac:dyDescent="0.2">
      <c r="A57" s="1">
        <v>45</v>
      </c>
      <c r="B57" s="1" t="s">
        <v>13</v>
      </c>
      <c r="C57" s="2">
        <f>12.4-1</f>
        <v>11.4</v>
      </c>
      <c r="D57" s="9">
        <f>RANK(C57,C$50:C$61)</f>
        <v>7</v>
      </c>
      <c r="E57" s="11">
        <f>13.2-2.2</f>
        <v>11</v>
      </c>
      <c r="F57" s="9">
        <f>RANK(E57,E$50:E$61)</f>
        <v>2</v>
      </c>
      <c r="G57" s="10">
        <f>11.9-4.85</f>
        <v>7.0500000000000007</v>
      </c>
      <c r="H57" s="9">
        <f>RANK(G57,G$50:G$61)</f>
        <v>10</v>
      </c>
      <c r="I57" s="4">
        <f>13.6-2.5</f>
        <v>11.1</v>
      </c>
      <c r="J57" s="9">
        <f>RANK(I57,I$50:I$61)</f>
        <v>6</v>
      </c>
      <c r="K57" s="3">
        <f>+C57+E57+G57+I57</f>
        <v>40.549999999999997</v>
      </c>
      <c r="L57" s="9">
        <f>RANK(K57,K$50:K$61)</f>
        <v>9</v>
      </c>
      <c r="N57" s="9">
        <f>RANK(K57,K$57:K$61)</f>
        <v>5</v>
      </c>
    </row>
    <row r="58" spans="1:14" x14ac:dyDescent="0.2">
      <c r="A58" s="1">
        <v>46</v>
      </c>
      <c r="B58" s="1" t="s">
        <v>12</v>
      </c>
      <c r="C58" s="2">
        <f>12.4-1.2</f>
        <v>11.200000000000001</v>
      </c>
      <c r="D58" s="9">
        <f>RANK(C58,C$50:C$61)</f>
        <v>10</v>
      </c>
      <c r="E58" s="11">
        <f>12.3-2.1</f>
        <v>10.200000000000001</v>
      </c>
      <c r="F58" s="9">
        <f>RANK(E58,E$50:E$61)</f>
        <v>7</v>
      </c>
      <c r="G58" s="10">
        <f>12.5-3.75</f>
        <v>8.75</v>
      </c>
      <c r="H58" s="9">
        <f>RANK(G58,G$50:G$61)</f>
        <v>5</v>
      </c>
      <c r="I58" s="4">
        <f>13.5-2.6</f>
        <v>10.9</v>
      </c>
      <c r="J58" s="9">
        <f>RANK(I58,I$50:I$61)</f>
        <v>8</v>
      </c>
      <c r="K58" s="3">
        <f>ROUND(+C58+E58+G58+I58,1)</f>
        <v>41.1</v>
      </c>
      <c r="L58" s="9">
        <f>RANK(K58,K$50:K$61)</f>
        <v>7</v>
      </c>
      <c r="N58" s="9">
        <f>RANK(K58,K$57:K$61)</f>
        <v>4</v>
      </c>
    </row>
    <row r="59" spans="1:14" x14ac:dyDescent="0.2">
      <c r="A59" s="1">
        <v>47</v>
      </c>
      <c r="B59" s="1" t="s">
        <v>11</v>
      </c>
      <c r="C59" s="2">
        <f>12.6-1</f>
        <v>11.6</v>
      </c>
      <c r="D59" s="9">
        <f>RANK(C59,C$50:C$61)</f>
        <v>5</v>
      </c>
      <c r="E59" s="11">
        <f>13.1-3</f>
        <v>10.1</v>
      </c>
      <c r="F59" s="9">
        <f>RANK(E59,E$50:E$61)</f>
        <v>8</v>
      </c>
      <c r="G59" s="10">
        <f>12.4-3.35</f>
        <v>9.0500000000000007</v>
      </c>
      <c r="H59" s="9">
        <f>RANK(G59,G$50:G$61)</f>
        <v>4</v>
      </c>
      <c r="I59" s="4">
        <f>13.7-2</f>
        <v>11.7</v>
      </c>
      <c r="J59" s="9">
        <f>RANK(I59,I$50:I$61)</f>
        <v>1</v>
      </c>
      <c r="K59" s="3">
        <f>ROUND(+C59+E59+G59+I59,1)</f>
        <v>42.5</v>
      </c>
      <c r="L59" s="9">
        <f>RANK(K59,K$50:K$61)</f>
        <v>4</v>
      </c>
      <c r="N59" s="9">
        <f>RANK(K59,K$57:K$61)</f>
        <v>2</v>
      </c>
    </row>
    <row r="60" spans="1:14" x14ac:dyDescent="0.2">
      <c r="A60" s="1">
        <v>48</v>
      </c>
      <c r="B60" s="1" t="s">
        <v>10</v>
      </c>
      <c r="C60" s="2">
        <f>12.6-0.8</f>
        <v>11.799999999999999</v>
      </c>
      <c r="D60" s="9">
        <f>RANK(C60,C$50:C$61)</f>
        <v>1</v>
      </c>
      <c r="E60" s="11">
        <f>13-2.1</f>
        <v>10.9</v>
      </c>
      <c r="F60" s="9">
        <f>RANK(E60,E$50:E$61)</f>
        <v>3</v>
      </c>
      <c r="G60" s="10">
        <f>12.1-3.6</f>
        <v>8.5</v>
      </c>
      <c r="H60" s="9">
        <f>RANK(G60,G$50:G$61)</f>
        <v>6</v>
      </c>
      <c r="I60" s="4">
        <f>13.6-2</f>
        <v>11.6</v>
      </c>
      <c r="J60" s="9">
        <f>RANK(I60,I$50:I$61)</f>
        <v>2</v>
      </c>
      <c r="K60" s="3">
        <f>ROUND(+C60+E60+G60+I60,1)</f>
        <v>42.8</v>
      </c>
      <c r="L60" s="9">
        <f>RANK(K60,K$50:K$61)</f>
        <v>1</v>
      </c>
      <c r="N60" s="9">
        <f>RANK(K60,K$57:K$61)</f>
        <v>1</v>
      </c>
    </row>
    <row r="61" spans="1:14" x14ac:dyDescent="0.2">
      <c r="A61" s="1">
        <v>60</v>
      </c>
      <c r="B61" s="1" t="s">
        <v>9</v>
      </c>
      <c r="C61" s="2">
        <f>12.6-0.9</f>
        <v>11.7</v>
      </c>
      <c r="D61" s="9">
        <v>2</v>
      </c>
      <c r="E61" s="11">
        <f>12.9-2.2</f>
        <v>10.7</v>
      </c>
      <c r="F61" s="9">
        <f>RANK(E61,E$50:E$61)</f>
        <v>4</v>
      </c>
      <c r="G61" s="10">
        <f>13.3-5.95</f>
        <v>7.3500000000000005</v>
      </c>
      <c r="H61" s="9">
        <f>RANK(G61,G$50:G$61)</f>
        <v>9</v>
      </c>
      <c r="I61" s="4">
        <f>13.6-2.1</f>
        <v>11.5</v>
      </c>
      <c r="J61" s="9">
        <f>RANK(I61,I$50:I$61)</f>
        <v>3</v>
      </c>
      <c r="K61" s="3">
        <f>ROUND(+C61+E61+G61+I61,1)</f>
        <v>41.3</v>
      </c>
      <c r="L61" s="9">
        <f>RANK(K61,K$50:K$61)</f>
        <v>6</v>
      </c>
      <c r="N61" s="9">
        <f>RANK(K61,K$57:K$61)</f>
        <v>3</v>
      </c>
    </row>
  </sheetData>
  <mergeCells count="3">
    <mergeCell ref="B1:J1"/>
    <mergeCell ref="C47:J47"/>
    <mergeCell ref="C33:J33"/>
  </mergeCells>
  <conditionalFormatting sqref="L1:L13 M3:M12 L14:M14 D1:D32 F1:F32 H1:H32 J1:J32 M15:M22 D34:D46 F34:F46 H34:H46 J34:J46 M34:M45 D48:D1048576 F48:F1048576 H48:H1048576 J48:J1048576 L15:L1048576 M48:M61">
    <cfRule type="cellIs" dxfId="31" priority="34" operator="equal">
      <formula>3</formula>
    </cfRule>
    <cfRule type="cellIs" dxfId="30" priority="35" operator="equal">
      <formula>2</formula>
    </cfRule>
    <cfRule type="cellIs" dxfId="29" priority="36" operator="equal">
      <formula>1</formula>
    </cfRule>
  </conditionalFormatting>
  <conditionalFormatting sqref="L1:L49">
    <cfRule type="cellIs" dxfId="28" priority="12" operator="equal">
      <formula>4</formula>
    </cfRule>
  </conditionalFormatting>
  <conditionalFormatting sqref="M24:M31">
    <cfRule type="cellIs" dxfId="27" priority="31" operator="equal">
      <formula>3</formula>
    </cfRule>
    <cfRule type="cellIs" dxfId="26" priority="32" operator="equal">
      <formula>2</formula>
    </cfRule>
    <cfRule type="cellIs" dxfId="25" priority="33" operator="equal">
      <formula>1</formula>
    </cfRule>
  </conditionalFormatting>
  <conditionalFormatting sqref="M26:M31 M36:M38 M57:M61">
    <cfRule type="cellIs" dxfId="24" priority="28" stopIfTrue="1" operator="equal">
      <formula>3</formula>
    </cfRule>
    <cfRule type="cellIs" dxfId="23" priority="29" operator="equal">
      <formula>2</formula>
    </cfRule>
    <cfRule type="cellIs" dxfId="22" priority="30" stopIfTrue="1" operator="equal">
      <formula>1</formula>
    </cfRule>
  </conditionalFormatting>
  <conditionalFormatting sqref="M40:M45">
    <cfRule type="cellIs" dxfId="21" priority="37" stopIfTrue="1" operator="equal">
      <formula>3</formula>
    </cfRule>
    <cfRule type="cellIs" dxfId="20" priority="38" operator="equal">
      <formula>2</formula>
    </cfRule>
    <cfRule type="cellIs" dxfId="19" priority="39" stopIfTrue="1" operator="equal">
      <formula>1</formula>
    </cfRule>
  </conditionalFormatting>
  <conditionalFormatting sqref="M50:M54">
    <cfRule type="cellIs" dxfId="18" priority="25" stopIfTrue="1" operator="equal">
      <formula>3</formula>
    </cfRule>
    <cfRule type="cellIs" dxfId="17" priority="26" operator="equal">
      <formula>2</formula>
    </cfRule>
    <cfRule type="cellIs" dxfId="16" priority="27" stopIfTrue="1" operator="equal">
      <formula>1</formula>
    </cfRule>
  </conditionalFormatting>
  <conditionalFormatting sqref="N36:N38 N57:N61">
    <cfRule type="cellIs" dxfId="15" priority="5" operator="equal">
      <formula>4</formula>
    </cfRule>
    <cfRule type="cellIs" dxfId="14" priority="6" operator="equal">
      <formula>3</formula>
    </cfRule>
    <cfRule type="cellIs" dxfId="13" priority="7" operator="equal">
      <formula>2</formula>
    </cfRule>
    <cfRule type="cellIs" dxfId="12" priority="8" operator="equal">
      <formula>1</formula>
    </cfRule>
  </conditionalFormatting>
  <conditionalFormatting sqref="N40:N45">
    <cfRule type="cellIs" dxfId="11" priority="1" operator="equal">
      <formula>4</formula>
    </cfRule>
    <cfRule type="cellIs" dxfId="10" priority="2" operator="equal">
      <formula>3</formula>
    </cfRule>
    <cfRule type="cellIs" dxfId="9" priority="3" operator="equal">
      <formula>2</formula>
    </cfRule>
    <cfRule type="cellIs" dxfId="8" priority="4" operator="equal">
      <formula>1</formula>
    </cfRule>
  </conditionalFormatting>
  <conditionalFormatting sqref="N47 L62:L1048576">
    <cfRule type="cellIs" dxfId="7" priority="21" operator="equal">
      <formula>4</formula>
    </cfRule>
  </conditionalFormatting>
  <conditionalFormatting sqref="N47">
    <cfRule type="cellIs" dxfId="6" priority="22" operator="equal">
      <formula>3</formula>
    </cfRule>
    <cfRule type="cellIs" dxfId="5" priority="23" operator="equal">
      <formula>2</formula>
    </cfRule>
    <cfRule type="cellIs" dxfId="4" priority="24" operator="equal">
      <formula>1</formula>
    </cfRule>
  </conditionalFormatting>
  <conditionalFormatting sqref="N50:N54">
    <cfRule type="cellIs" dxfId="3" priority="17" operator="equal">
      <formula>4</formula>
    </cfRule>
    <cfRule type="cellIs" dxfId="2" priority="18" operator="equal">
      <formula>3</formula>
    </cfRule>
    <cfRule type="cellIs" dxfId="1" priority="19" operator="equal">
      <formula>2</formula>
    </cfRule>
    <cfRule type="cellIs" dxfId="0" priority="20" operator="equal">
      <formula>1</formula>
    </cfRule>
  </conditionalFormatting>
  <pageMargins left="0.23622047244094491" right="0.23622047244094491" top="0.74803149606299213" bottom="0.74803149606299213" header="0.31496062992125984" footer="0.31496062992125984"/>
  <pageSetup paperSize="9" fitToHeight="0" orientation="portrait" horizontalDpi="0" verticalDpi="0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Round 1</vt:lpstr>
      <vt:lpstr>Round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Lincoln City Gym Club</dc:creator>
  <cp:keywords/>
  <dc:description/>
  <cp:lastModifiedBy>Abi Hayes</cp:lastModifiedBy>
  <cp:revision/>
  <dcterms:created xsi:type="dcterms:W3CDTF">2021-10-31T18:01:08Z</dcterms:created>
  <dcterms:modified xsi:type="dcterms:W3CDTF">2025-07-25T08:54:56Z</dcterms:modified>
  <cp:category/>
  <cp:contentStatus/>
</cp:coreProperties>
</file>